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_agarcerant\Downloads\"/>
    </mc:Choice>
  </mc:AlternateContent>
  <bookViews>
    <workbookView xWindow="0" yWindow="0" windowWidth="20490" windowHeight="7050"/>
  </bookViews>
  <sheets>
    <sheet name="ANEXO 8 - PAGCONTRATOS" sheetId="1" r:id="rId1"/>
  </sheets>
  <externalReferences>
    <externalReference r:id="rId2"/>
  </externalReferences>
  <definedNames>
    <definedName name="__xlfn.BAHTTEXT" hidden="1">#NAME?</definedName>
    <definedName name="_xlnm._FilterDatabase" localSheetId="0" hidden="1">'ANEXO 8 - PAGCONTRATOS'!$B$2:$IT$4667</definedName>
    <definedName name="_xlnm.Print_Area" localSheetId="0">'ANEXO 8 - PAGCONTRATOS'!$B$1:$L$4244</definedName>
    <definedName name="_xlnm.Print_Titles" localSheetId="0">'ANEXO 8 - PAGCONTRATOS'!$1:$3</definedName>
    <definedName name="Z_6885B5A0_6214_4018_A1FF_16E87A32E9F1_.wvu.Cols" localSheetId="0" hidden="1">'ANEXO 8 - PAGCONTRATOS'!#REF!</definedName>
    <definedName name="Z_6885B5A0_6214_4018_A1FF_16E87A32E9F1_.wvu.FilterData" localSheetId="0" hidden="1">'ANEXO 8 - PAGCONTRATOS'!$B$4:$L$1366</definedName>
    <definedName name="Z_6885B5A0_6214_4018_A1FF_16E87A32E9F1_.wvu.PrintArea" localSheetId="0" hidden="1">'ANEXO 8 - PAGCONTRATOS'!$B$1:$L$403</definedName>
    <definedName name="Z_6885B5A0_6214_4018_A1FF_16E87A32E9F1_.wvu.PrintTitles" localSheetId="0" hidden="1">'ANEXO 8 - PAGCONTRATOS'!$2:$3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671" i="1" l="1"/>
  <c r="J4669" i="1"/>
  <c r="J4671" i="1" s="1"/>
  <c r="I4669" i="1"/>
  <c r="I4671" i="1" s="1"/>
  <c r="H4669" i="1"/>
  <c r="F4669" i="1"/>
  <c r="E4669" i="1"/>
  <c r="E4671" i="1" s="1"/>
  <c r="G4667" i="1"/>
  <c r="L4663" i="1"/>
  <c r="O4663" i="1" s="1"/>
  <c r="G4663" i="1"/>
  <c r="K4663" i="1" s="1"/>
  <c r="L4662" i="1"/>
  <c r="E4662" i="1"/>
  <c r="G4660" i="1"/>
  <c r="K4660" i="1" s="1"/>
  <c r="L4659" i="1"/>
  <c r="E4659" i="1"/>
  <c r="G4657" i="1"/>
  <c r="L4656" i="1"/>
  <c r="E4656" i="1"/>
  <c r="L4654" i="1"/>
  <c r="O4654" i="1" s="1"/>
  <c r="G4654" i="1"/>
  <c r="K4654" i="1" s="1"/>
  <c r="L4653" i="1"/>
  <c r="E4653" i="1"/>
  <c r="K4652" i="1"/>
  <c r="G4652" i="1"/>
  <c r="K4651" i="1"/>
  <c r="G4651" i="1"/>
  <c r="L4650" i="1"/>
  <c r="E4650" i="1"/>
  <c r="K4648" i="1"/>
  <c r="G4648" i="1"/>
  <c r="L4647" i="1"/>
  <c r="L4648" i="1" s="1"/>
  <c r="O4648" i="1" s="1"/>
  <c r="E4647" i="1"/>
  <c r="G4644" i="1"/>
  <c r="K4644" i="1" s="1"/>
  <c r="L4643" i="1"/>
  <c r="L4644" i="1" s="1"/>
  <c r="O4643" i="1" s="1"/>
  <c r="G4643" i="1"/>
  <c r="K4643" i="1" s="1"/>
  <c r="L4642" i="1"/>
  <c r="E4642" i="1"/>
  <c r="K4641" i="1"/>
  <c r="G4641" i="1"/>
  <c r="K4640" i="1"/>
  <c r="G4640" i="1"/>
  <c r="L4639" i="1"/>
  <c r="E4639" i="1"/>
  <c r="K4638" i="1"/>
  <c r="G4638" i="1"/>
  <c r="G4637" i="1"/>
  <c r="L4636" i="1"/>
  <c r="E4636" i="1"/>
  <c r="K4635" i="1"/>
  <c r="G4635" i="1"/>
  <c r="L4634" i="1"/>
  <c r="L4635" i="1" s="1"/>
  <c r="O4634" i="1" s="1"/>
  <c r="K4634" i="1"/>
  <c r="G4634" i="1"/>
  <c r="L4633" i="1"/>
  <c r="E4633" i="1"/>
  <c r="G4632" i="1"/>
  <c r="K4632" i="1" s="1"/>
  <c r="G4631" i="1"/>
  <c r="K4631" i="1" s="1"/>
  <c r="L4630" i="1"/>
  <c r="E4630" i="1"/>
  <c r="G4629" i="1"/>
  <c r="K4629" i="1" s="1"/>
  <c r="G4628" i="1"/>
  <c r="K4628" i="1" s="1"/>
  <c r="L4627" i="1"/>
  <c r="L4628" i="1" s="1"/>
  <c r="L4629" i="1" s="1"/>
  <c r="O4628" i="1" s="1"/>
  <c r="E4627" i="1"/>
  <c r="K4626" i="1"/>
  <c r="G4626" i="1"/>
  <c r="G4625" i="1"/>
  <c r="L4624" i="1"/>
  <c r="E4624" i="1"/>
  <c r="K4623" i="1"/>
  <c r="G4623" i="1"/>
  <c r="L4622" i="1"/>
  <c r="L4623" i="1" s="1"/>
  <c r="O4622" i="1" s="1"/>
  <c r="K4622" i="1"/>
  <c r="G4622" i="1"/>
  <c r="L4621" i="1"/>
  <c r="E4621" i="1"/>
  <c r="O4619" i="1"/>
  <c r="K4619" i="1"/>
  <c r="G4619" i="1"/>
  <c r="L4618" i="1"/>
  <c r="L4619" i="1" s="1"/>
  <c r="E4618" i="1"/>
  <c r="G4617" i="1"/>
  <c r="K4617" i="1" s="1"/>
  <c r="L4616" i="1"/>
  <c r="L4617" i="1" s="1"/>
  <c r="O4616" i="1" s="1"/>
  <c r="K4616" i="1"/>
  <c r="G4616" i="1"/>
  <c r="L4615" i="1"/>
  <c r="E4615" i="1"/>
  <c r="K4614" i="1"/>
  <c r="G4614" i="1"/>
  <c r="L4613" i="1"/>
  <c r="L4614" i="1" s="1"/>
  <c r="O4613" i="1" s="1"/>
  <c r="K4613" i="1"/>
  <c r="G4613" i="1"/>
  <c r="L4612" i="1"/>
  <c r="E4612" i="1"/>
  <c r="G4610" i="1"/>
  <c r="K4610" i="1" s="1"/>
  <c r="L4609" i="1"/>
  <c r="L4610" i="1" s="1"/>
  <c r="O4610" i="1" s="1"/>
  <c r="E4609" i="1"/>
  <c r="L4607" i="1"/>
  <c r="O4607" i="1" s="1"/>
  <c r="K4607" i="1"/>
  <c r="G4607" i="1"/>
  <c r="L4606" i="1"/>
  <c r="E4606" i="1"/>
  <c r="G4603" i="1"/>
  <c r="K4603" i="1" s="1"/>
  <c r="L4602" i="1"/>
  <c r="L4603" i="1" s="1"/>
  <c r="O4603" i="1" s="1"/>
  <c r="E4602" i="1"/>
  <c r="L4600" i="1"/>
  <c r="O4600" i="1" s="1"/>
  <c r="K4600" i="1"/>
  <c r="G4600" i="1"/>
  <c r="L4599" i="1"/>
  <c r="E4599" i="1"/>
  <c r="G4598" i="1"/>
  <c r="K4598" i="1" s="1"/>
  <c r="G4597" i="1"/>
  <c r="K4597" i="1" s="1"/>
  <c r="L4596" i="1"/>
  <c r="E4596" i="1"/>
  <c r="G4595" i="1"/>
  <c r="K4595" i="1" s="1"/>
  <c r="G4594" i="1"/>
  <c r="K4594" i="1" s="1"/>
  <c r="L4593" i="1"/>
  <c r="L4594" i="1" s="1"/>
  <c r="L4595" i="1" s="1"/>
  <c r="O4594" i="1" s="1"/>
  <c r="E4593" i="1"/>
  <c r="G4592" i="1"/>
  <c r="K4592" i="1" s="1"/>
  <c r="L4591" i="1"/>
  <c r="G4591" i="1"/>
  <c r="K4591" i="1" s="1"/>
  <c r="L4590" i="1"/>
  <c r="E4590" i="1"/>
  <c r="G4588" i="1"/>
  <c r="K4588" i="1" s="1"/>
  <c r="L4587" i="1"/>
  <c r="L4588" i="1" s="1"/>
  <c r="O4588" i="1" s="1"/>
  <c r="E4587" i="1"/>
  <c r="G4586" i="1"/>
  <c r="K4586" i="1" s="1"/>
  <c r="G4585" i="1"/>
  <c r="K4585" i="1" s="1"/>
  <c r="L4584" i="1"/>
  <c r="L4585" i="1" s="1"/>
  <c r="E4584" i="1"/>
  <c r="G4583" i="1"/>
  <c r="K4583" i="1" s="1"/>
  <c r="L4582" i="1"/>
  <c r="L4583" i="1" s="1"/>
  <c r="O4582" i="1" s="1"/>
  <c r="G4582" i="1"/>
  <c r="K4582" i="1" s="1"/>
  <c r="L4581" i="1"/>
  <c r="E4581" i="1"/>
  <c r="G4579" i="1"/>
  <c r="K4579" i="1" s="1"/>
  <c r="L4578" i="1"/>
  <c r="E4578" i="1"/>
  <c r="G4576" i="1"/>
  <c r="L4575" i="1"/>
  <c r="E4575" i="1"/>
  <c r="L4573" i="1"/>
  <c r="O4573" i="1" s="1"/>
  <c r="G4573" i="1"/>
  <c r="K4573" i="1" s="1"/>
  <c r="L4572" i="1"/>
  <c r="E4572" i="1"/>
  <c r="K4571" i="1"/>
  <c r="G4571" i="1"/>
  <c r="K4570" i="1"/>
  <c r="G4570" i="1"/>
  <c r="L4569" i="1"/>
  <c r="E4569" i="1"/>
  <c r="K4568" i="1"/>
  <c r="G4568" i="1"/>
  <c r="G4567" i="1"/>
  <c r="L4567" i="1" s="1"/>
  <c r="L4568" i="1" s="1"/>
  <c r="O4567" i="1" s="1"/>
  <c r="L4566" i="1"/>
  <c r="E4566" i="1"/>
  <c r="K4564" i="1"/>
  <c r="G4564" i="1"/>
  <c r="L4563" i="1"/>
  <c r="L4564" i="1" s="1"/>
  <c r="O4563" i="1" s="1"/>
  <c r="K4563" i="1"/>
  <c r="G4563" i="1"/>
  <c r="L4562" i="1"/>
  <c r="E4562" i="1"/>
  <c r="G4561" i="1"/>
  <c r="K4561" i="1" s="1"/>
  <c r="G4560" i="1"/>
  <c r="L4559" i="1"/>
  <c r="E4559" i="1"/>
  <c r="L4557" i="1"/>
  <c r="O4557" i="1" s="1"/>
  <c r="K4557" i="1"/>
  <c r="G4557" i="1"/>
  <c r="L4556" i="1"/>
  <c r="E4556" i="1"/>
  <c r="O4554" i="1"/>
  <c r="G4554" i="1"/>
  <c r="K4554" i="1" s="1"/>
  <c r="L4553" i="1"/>
  <c r="L4554" i="1" s="1"/>
  <c r="E4553" i="1"/>
  <c r="G4552" i="1"/>
  <c r="K4552" i="1" s="1"/>
  <c r="K4551" i="1"/>
  <c r="G4551" i="1"/>
  <c r="L4550" i="1"/>
  <c r="L4551" i="1" s="1"/>
  <c r="L4552" i="1" s="1"/>
  <c r="O4551" i="1" s="1"/>
  <c r="E4550" i="1"/>
  <c r="O4548" i="1"/>
  <c r="K4548" i="1"/>
  <c r="G4548" i="1"/>
  <c r="L4547" i="1"/>
  <c r="L4548" i="1" s="1"/>
  <c r="E4547" i="1"/>
  <c r="K4545" i="1"/>
  <c r="G4545" i="1"/>
  <c r="L4544" i="1"/>
  <c r="E4544" i="1"/>
  <c r="L4543" i="1"/>
  <c r="O4542" i="1" s="1"/>
  <c r="K4543" i="1"/>
  <c r="G4543" i="1"/>
  <c r="L4542" i="1"/>
  <c r="K4542" i="1"/>
  <c r="G4542" i="1"/>
  <c r="L4541" i="1"/>
  <c r="E4541" i="1"/>
  <c r="G4539" i="1"/>
  <c r="K4539" i="1" s="1"/>
  <c r="L4538" i="1"/>
  <c r="L4539" i="1" s="1"/>
  <c r="O4539" i="1" s="1"/>
  <c r="E4538" i="1"/>
  <c r="K4537" i="1"/>
  <c r="G4537" i="1"/>
  <c r="K4536" i="1"/>
  <c r="G4536" i="1"/>
  <c r="L4535" i="1"/>
  <c r="E4535" i="1"/>
  <c r="L4534" i="1"/>
  <c r="O4533" i="1" s="1"/>
  <c r="K4534" i="1"/>
  <c r="G4534" i="1"/>
  <c r="L4533" i="1"/>
  <c r="K4533" i="1"/>
  <c r="G4533" i="1"/>
  <c r="L4532" i="1"/>
  <c r="E4532" i="1"/>
  <c r="O4530" i="1"/>
  <c r="G4530" i="1"/>
  <c r="K4530" i="1" s="1"/>
  <c r="L4529" i="1"/>
  <c r="L4530" i="1" s="1"/>
  <c r="E4529" i="1"/>
  <c r="G4527" i="1"/>
  <c r="K4527" i="1" s="1"/>
  <c r="L4526" i="1"/>
  <c r="E4526" i="1"/>
  <c r="K4524" i="1"/>
  <c r="G4524" i="1"/>
  <c r="K4523" i="1"/>
  <c r="G4523" i="1"/>
  <c r="L4522" i="1"/>
  <c r="L4523" i="1" s="1"/>
  <c r="L4524" i="1" s="1"/>
  <c r="O4523" i="1" s="1"/>
  <c r="E4522" i="1"/>
  <c r="G4521" i="1"/>
  <c r="K4521" i="1" s="1"/>
  <c r="G4520" i="1"/>
  <c r="K4520" i="1" s="1"/>
  <c r="L4519" i="1"/>
  <c r="L4520" i="1" s="1"/>
  <c r="L4521" i="1" s="1"/>
  <c r="O4520" i="1" s="1"/>
  <c r="E4519" i="1"/>
  <c r="G4518" i="1"/>
  <c r="K4518" i="1" s="1"/>
  <c r="K4517" i="1"/>
  <c r="G4517" i="1"/>
  <c r="L4516" i="1"/>
  <c r="L4517" i="1" s="1"/>
  <c r="L4518" i="1" s="1"/>
  <c r="O4517" i="1" s="1"/>
  <c r="E4516" i="1"/>
  <c r="L4515" i="1"/>
  <c r="O4514" i="1" s="1"/>
  <c r="G4515" i="1"/>
  <c r="K4515" i="1" s="1"/>
  <c r="L4514" i="1"/>
  <c r="K4514" i="1"/>
  <c r="G4514" i="1"/>
  <c r="L4513" i="1"/>
  <c r="E4513" i="1"/>
  <c r="K4512" i="1"/>
  <c r="G4512" i="1"/>
  <c r="K4511" i="1"/>
  <c r="G4511" i="1"/>
  <c r="L4510" i="1"/>
  <c r="L4511" i="1" s="1"/>
  <c r="L4512" i="1" s="1"/>
  <c r="O4511" i="1" s="1"/>
  <c r="E4510" i="1"/>
  <c r="T4509" i="1"/>
  <c r="T4508" i="1"/>
  <c r="K4508" i="1"/>
  <c r="G4508" i="1"/>
  <c r="K4507" i="1"/>
  <c r="G4507" i="1"/>
  <c r="L4507" i="1" s="1"/>
  <c r="L4508" i="1" s="1"/>
  <c r="O4507" i="1" s="1"/>
  <c r="L4506" i="1"/>
  <c r="E4506" i="1"/>
  <c r="K4505" i="1"/>
  <c r="G4505" i="1"/>
  <c r="L4504" i="1"/>
  <c r="L4505" i="1" s="1"/>
  <c r="O4504" i="1" s="1"/>
  <c r="K4504" i="1"/>
  <c r="G4504" i="1"/>
  <c r="L4503" i="1"/>
  <c r="E4503" i="1"/>
  <c r="G4502" i="1"/>
  <c r="K4502" i="1" s="1"/>
  <c r="L4501" i="1"/>
  <c r="L4502" i="1" s="1"/>
  <c r="O4501" i="1" s="1"/>
  <c r="G4501" i="1"/>
  <c r="K4501" i="1" s="1"/>
  <c r="L4500" i="1"/>
  <c r="E4500" i="1"/>
  <c r="K4498" i="1"/>
  <c r="G4498" i="1"/>
  <c r="K4497" i="1"/>
  <c r="G4497" i="1"/>
  <c r="L4496" i="1"/>
  <c r="L4497" i="1" s="1"/>
  <c r="L4498" i="1" s="1"/>
  <c r="O4497" i="1" s="1"/>
  <c r="E4496" i="1"/>
  <c r="G4495" i="1"/>
  <c r="K4495" i="1" s="1"/>
  <c r="G4494" i="1"/>
  <c r="L4493" i="1"/>
  <c r="E4493" i="1"/>
  <c r="K4492" i="1"/>
  <c r="G4492" i="1"/>
  <c r="L4491" i="1"/>
  <c r="L4492" i="1" s="1"/>
  <c r="O4491" i="1" s="1"/>
  <c r="K4491" i="1"/>
  <c r="G4491" i="1"/>
  <c r="L4490" i="1"/>
  <c r="E4490" i="1"/>
  <c r="G4489" i="1"/>
  <c r="K4489" i="1" s="1"/>
  <c r="G4488" i="1"/>
  <c r="K4488" i="1" s="1"/>
  <c r="L4487" i="1"/>
  <c r="L4488" i="1" s="1"/>
  <c r="L4489" i="1" s="1"/>
  <c r="O4488" i="1" s="1"/>
  <c r="E4487" i="1"/>
  <c r="G4486" i="1"/>
  <c r="K4486" i="1" s="1"/>
  <c r="G4485" i="1"/>
  <c r="K4485" i="1" s="1"/>
  <c r="L4484" i="1"/>
  <c r="E4484" i="1"/>
  <c r="G4483" i="1"/>
  <c r="K4483" i="1" s="1"/>
  <c r="G4482" i="1"/>
  <c r="K4482" i="1" s="1"/>
  <c r="L4481" i="1"/>
  <c r="E4481" i="1"/>
  <c r="K4480" i="1"/>
  <c r="G4480" i="1"/>
  <c r="K4479" i="1"/>
  <c r="G4479" i="1"/>
  <c r="L4478" i="1"/>
  <c r="L4479" i="1" s="1"/>
  <c r="L4480" i="1" s="1"/>
  <c r="O4479" i="1" s="1"/>
  <c r="E4478" i="1"/>
  <c r="G4477" i="1"/>
  <c r="K4477" i="1" s="1"/>
  <c r="G4476" i="1"/>
  <c r="K4476" i="1" s="1"/>
  <c r="L4475" i="1"/>
  <c r="L4476" i="1" s="1"/>
  <c r="L4477" i="1" s="1"/>
  <c r="O4476" i="1" s="1"/>
  <c r="E4475" i="1"/>
  <c r="G4474" i="1"/>
  <c r="K4474" i="1" s="1"/>
  <c r="K4473" i="1"/>
  <c r="G4473" i="1"/>
  <c r="L4472" i="1"/>
  <c r="L4473" i="1" s="1"/>
  <c r="L4474" i="1" s="1"/>
  <c r="O4473" i="1" s="1"/>
  <c r="E4472" i="1"/>
  <c r="L4471" i="1"/>
  <c r="O4470" i="1" s="1"/>
  <c r="G4471" i="1"/>
  <c r="K4471" i="1" s="1"/>
  <c r="L4470" i="1"/>
  <c r="K4470" i="1"/>
  <c r="G4470" i="1"/>
  <c r="L4469" i="1"/>
  <c r="E4469" i="1"/>
  <c r="K4468" i="1"/>
  <c r="G4468" i="1"/>
  <c r="K4467" i="1"/>
  <c r="G4467" i="1"/>
  <c r="L4466" i="1"/>
  <c r="L4467" i="1" s="1"/>
  <c r="L4468" i="1" s="1"/>
  <c r="O4467" i="1" s="1"/>
  <c r="E4466" i="1"/>
  <c r="G4465" i="1"/>
  <c r="K4465" i="1" s="1"/>
  <c r="K4464" i="1"/>
  <c r="G4463" i="1"/>
  <c r="L4462" i="1"/>
  <c r="E4462" i="1"/>
  <c r="K4461" i="1"/>
  <c r="G4461" i="1"/>
  <c r="L4460" i="1"/>
  <c r="L4461" i="1" s="1"/>
  <c r="O4460" i="1" s="1"/>
  <c r="K4460" i="1"/>
  <c r="G4460" i="1"/>
  <c r="L4459" i="1"/>
  <c r="E4459" i="1"/>
  <c r="G4458" i="1"/>
  <c r="K4458" i="1" s="1"/>
  <c r="G4457" i="1"/>
  <c r="K4457" i="1" s="1"/>
  <c r="L4456" i="1"/>
  <c r="L4457" i="1" s="1"/>
  <c r="E4456" i="1"/>
  <c r="G4455" i="1"/>
  <c r="K4455" i="1" s="1"/>
  <c r="G4454" i="1"/>
  <c r="K4454" i="1" s="1"/>
  <c r="L4453" i="1"/>
  <c r="E4453" i="1"/>
  <c r="G4452" i="1"/>
  <c r="K4452" i="1" s="1"/>
  <c r="G4451" i="1"/>
  <c r="K4451" i="1" s="1"/>
  <c r="L4450" i="1"/>
  <c r="E4450" i="1"/>
  <c r="K4449" i="1"/>
  <c r="G4449" i="1"/>
  <c r="K4448" i="1"/>
  <c r="G4448" i="1"/>
  <c r="L4447" i="1"/>
  <c r="L4448" i="1" s="1"/>
  <c r="L4449" i="1" s="1"/>
  <c r="O4448" i="1" s="1"/>
  <c r="E4447" i="1"/>
  <c r="G4446" i="1"/>
  <c r="K4446" i="1" s="1"/>
  <c r="G4445" i="1"/>
  <c r="K4445" i="1" s="1"/>
  <c r="L4444" i="1"/>
  <c r="L4445" i="1" s="1"/>
  <c r="L4446" i="1" s="1"/>
  <c r="O4445" i="1" s="1"/>
  <c r="E4444" i="1"/>
  <c r="G4443" i="1"/>
  <c r="K4443" i="1" s="1"/>
  <c r="K4442" i="1"/>
  <c r="G4442" i="1"/>
  <c r="L4441" i="1"/>
  <c r="L4442" i="1" s="1"/>
  <c r="L4443" i="1" s="1"/>
  <c r="O4442" i="1" s="1"/>
  <c r="E4441" i="1"/>
  <c r="L4440" i="1"/>
  <c r="O4439" i="1" s="1"/>
  <c r="G4440" i="1"/>
  <c r="K4440" i="1" s="1"/>
  <c r="L4439" i="1"/>
  <c r="K4439" i="1"/>
  <c r="G4439" i="1"/>
  <c r="L4438" i="1"/>
  <c r="E4438" i="1"/>
  <c r="K4436" i="1"/>
  <c r="G4436" i="1"/>
  <c r="L4435" i="1"/>
  <c r="L4436" i="1" s="1"/>
  <c r="O4436" i="1" s="1"/>
  <c r="E4435" i="1"/>
  <c r="L4434" i="1"/>
  <c r="O4433" i="1" s="1"/>
  <c r="G4434" i="1"/>
  <c r="K4434" i="1" s="1"/>
  <c r="L4433" i="1"/>
  <c r="K4433" i="1"/>
  <c r="G4433" i="1"/>
  <c r="L4432" i="1"/>
  <c r="E4432" i="1"/>
  <c r="K4431" i="1"/>
  <c r="G4431" i="1"/>
  <c r="L4430" i="1"/>
  <c r="L4431" i="1" s="1"/>
  <c r="O4430" i="1" s="1"/>
  <c r="K4430" i="1"/>
  <c r="G4430" i="1"/>
  <c r="L4429" i="1"/>
  <c r="E4429" i="1"/>
  <c r="G4428" i="1"/>
  <c r="K4428" i="1" s="1"/>
  <c r="L4427" i="1"/>
  <c r="L4428" i="1" s="1"/>
  <c r="O4427" i="1" s="1"/>
  <c r="G4427" i="1"/>
  <c r="K4427" i="1" s="1"/>
  <c r="L4426" i="1"/>
  <c r="E4426" i="1"/>
  <c r="K4425" i="1"/>
  <c r="G4425" i="1"/>
  <c r="G4424" i="1"/>
  <c r="K4424" i="1" s="1"/>
  <c r="L4423" i="1"/>
  <c r="E4423" i="1"/>
  <c r="K4422" i="1"/>
  <c r="G4422" i="1"/>
  <c r="G4421" i="1"/>
  <c r="L4420" i="1"/>
  <c r="E4420" i="1"/>
  <c r="K4419" i="1"/>
  <c r="G4419" i="1"/>
  <c r="G4418" i="1"/>
  <c r="K4418" i="1" s="1"/>
  <c r="G4417" i="1"/>
  <c r="K4417" i="1" s="1"/>
  <c r="K4416" i="1"/>
  <c r="G4416" i="1"/>
  <c r="L4415" i="1"/>
  <c r="L4416" i="1" s="1"/>
  <c r="L4417" i="1" s="1"/>
  <c r="L4418" i="1" s="1"/>
  <c r="L4419" i="1" s="1"/>
  <c r="O4416" i="1" s="1"/>
  <c r="E4415" i="1"/>
  <c r="L4414" i="1"/>
  <c r="O4413" i="1" s="1"/>
  <c r="G4414" i="1"/>
  <c r="K4414" i="1" s="1"/>
  <c r="L4413" i="1"/>
  <c r="K4413" i="1"/>
  <c r="G4413" i="1"/>
  <c r="L4412" i="1"/>
  <c r="E4412" i="1"/>
  <c r="L4411" i="1"/>
  <c r="O4410" i="1" s="1"/>
  <c r="K4411" i="1"/>
  <c r="G4411" i="1"/>
  <c r="L4410" i="1"/>
  <c r="K4410" i="1"/>
  <c r="G4410" i="1"/>
  <c r="L4409" i="1"/>
  <c r="E4409" i="1"/>
  <c r="G4408" i="1"/>
  <c r="K4408" i="1" s="1"/>
  <c r="L4407" i="1"/>
  <c r="L4408" i="1" s="1"/>
  <c r="O4407" i="1" s="1"/>
  <c r="G4407" i="1"/>
  <c r="K4407" i="1" s="1"/>
  <c r="L4406" i="1"/>
  <c r="E4406" i="1"/>
  <c r="K4405" i="1"/>
  <c r="G4405" i="1"/>
  <c r="G4404" i="1"/>
  <c r="K4404" i="1" s="1"/>
  <c r="L4403" i="1"/>
  <c r="E4403" i="1"/>
  <c r="K4402" i="1"/>
  <c r="G4402" i="1"/>
  <c r="G4401" i="1"/>
  <c r="L4400" i="1"/>
  <c r="E4400" i="1"/>
  <c r="K4399" i="1"/>
  <c r="G4399" i="1"/>
  <c r="K4398" i="1"/>
  <c r="G4398" i="1"/>
  <c r="L4397" i="1"/>
  <c r="L4398" i="1" s="1"/>
  <c r="L4399" i="1" s="1"/>
  <c r="O4398" i="1" s="1"/>
  <c r="E4397" i="1"/>
  <c r="G4396" i="1"/>
  <c r="K4396" i="1" s="1"/>
  <c r="G4395" i="1"/>
  <c r="L4394" i="1"/>
  <c r="E4394" i="1"/>
  <c r="G4393" i="1"/>
  <c r="K4393" i="1" s="1"/>
  <c r="K4392" i="1"/>
  <c r="G4392" i="1"/>
  <c r="L4391" i="1"/>
  <c r="L4392" i="1" s="1"/>
  <c r="L4393" i="1" s="1"/>
  <c r="O4392" i="1" s="1"/>
  <c r="E4391" i="1"/>
  <c r="G4390" i="1"/>
  <c r="K4390" i="1" s="1"/>
  <c r="K4389" i="1"/>
  <c r="G4389" i="1"/>
  <c r="L4389" i="1" s="1"/>
  <c r="L4390" i="1" s="1"/>
  <c r="O4389" i="1" s="1"/>
  <c r="L4388" i="1"/>
  <c r="E4388" i="1"/>
  <c r="K4387" i="1"/>
  <c r="G4387" i="1"/>
  <c r="L4386" i="1"/>
  <c r="L4387" i="1" s="1"/>
  <c r="O4386" i="1" s="1"/>
  <c r="K4386" i="1"/>
  <c r="G4386" i="1"/>
  <c r="L4385" i="1"/>
  <c r="E4385" i="1"/>
  <c r="G4384" i="1"/>
  <c r="K4384" i="1" s="1"/>
  <c r="G4383" i="1"/>
  <c r="K4383" i="1" s="1"/>
  <c r="L4382" i="1"/>
  <c r="L4383" i="1" s="1"/>
  <c r="L4384" i="1" s="1"/>
  <c r="O4383" i="1" s="1"/>
  <c r="E4382" i="1"/>
  <c r="K4381" i="1"/>
  <c r="G4381" i="1"/>
  <c r="G4380" i="1"/>
  <c r="K4380" i="1" s="1"/>
  <c r="L4379" i="1"/>
  <c r="E4379" i="1"/>
  <c r="K4378" i="1"/>
  <c r="G4378" i="1"/>
  <c r="L4377" i="1"/>
  <c r="L4378" i="1" s="1"/>
  <c r="O4377" i="1" s="1"/>
  <c r="G4377" i="1"/>
  <c r="K4377" i="1" s="1"/>
  <c r="L4376" i="1"/>
  <c r="E4376" i="1"/>
  <c r="K4375" i="1"/>
  <c r="G4375" i="1"/>
  <c r="K4374" i="1"/>
  <c r="G4374" i="1"/>
  <c r="L4373" i="1"/>
  <c r="L4374" i="1" s="1"/>
  <c r="L4375" i="1" s="1"/>
  <c r="O4374" i="1" s="1"/>
  <c r="E4373" i="1"/>
  <c r="G4372" i="1"/>
  <c r="K4372" i="1" s="1"/>
  <c r="G4371" i="1"/>
  <c r="K4371" i="1" s="1"/>
  <c r="L4370" i="1"/>
  <c r="L4371" i="1" s="1"/>
  <c r="L4372" i="1" s="1"/>
  <c r="O4371" i="1" s="1"/>
  <c r="E4370" i="1"/>
  <c r="G4369" i="1"/>
  <c r="K4369" i="1" s="1"/>
  <c r="L4368" i="1"/>
  <c r="L4369" i="1" s="1"/>
  <c r="O4368" i="1" s="1"/>
  <c r="G4368" i="1"/>
  <c r="K4368" i="1" s="1"/>
  <c r="L4367" i="1"/>
  <c r="E4367" i="1"/>
  <c r="K4366" i="1"/>
  <c r="G4366" i="1"/>
  <c r="K4365" i="1"/>
  <c r="G4365" i="1"/>
  <c r="L4364" i="1"/>
  <c r="L4365" i="1" s="1"/>
  <c r="L4366" i="1" s="1"/>
  <c r="O4365" i="1" s="1"/>
  <c r="E4364" i="1"/>
  <c r="G4363" i="1"/>
  <c r="K4363" i="1" s="1"/>
  <c r="G4362" i="1"/>
  <c r="L4361" i="1"/>
  <c r="E4361" i="1"/>
  <c r="K4360" i="1"/>
  <c r="G4360" i="1"/>
  <c r="K4359" i="1"/>
  <c r="G4359" i="1"/>
  <c r="L4358" i="1"/>
  <c r="L4359" i="1" s="1"/>
  <c r="L4360" i="1" s="1"/>
  <c r="O4359" i="1" s="1"/>
  <c r="E4358" i="1"/>
  <c r="L4357" i="1"/>
  <c r="O4356" i="1" s="1"/>
  <c r="G4357" i="1"/>
  <c r="K4357" i="1" s="1"/>
  <c r="L4356" i="1"/>
  <c r="G4356" i="1"/>
  <c r="K4356" i="1" s="1"/>
  <c r="L4355" i="1"/>
  <c r="E4355" i="1"/>
  <c r="K4354" i="1"/>
  <c r="G4354" i="1"/>
  <c r="K4353" i="1"/>
  <c r="G4353" i="1"/>
  <c r="L4352" i="1"/>
  <c r="L4353" i="1" s="1"/>
  <c r="L4354" i="1" s="1"/>
  <c r="O4353" i="1" s="1"/>
  <c r="E4352" i="1"/>
  <c r="G4351" i="1"/>
  <c r="K4351" i="1" s="1"/>
  <c r="G4350" i="1"/>
  <c r="L4349" i="1"/>
  <c r="G4348" i="1"/>
  <c r="K4348" i="1" s="1"/>
  <c r="G4347" i="1"/>
  <c r="L4346" i="1"/>
  <c r="E4346" i="1"/>
  <c r="K4345" i="1"/>
  <c r="G4345" i="1"/>
  <c r="K4344" i="1"/>
  <c r="G4344" i="1"/>
  <c r="L4343" i="1"/>
  <c r="L4344" i="1" s="1"/>
  <c r="L4345" i="1" s="1"/>
  <c r="O4344" i="1" s="1"/>
  <c r="E4343" i="1"/>
  <c r="G4341" i="1"/>
  <c r="K4341" i="1" s="1"/>
  <c r="K4340" i="1"/>
  <c r="G4340" i="1"/>
  <c r="K4339" i="1"/>
  <c r="G4339" i="1"/>
  <c r="L4338" i="1"/>
  <c r="T4339" i="1" s="1"/>
  <c r="U4339" i="1" s="1"/>
  <c r="E4338" i="1"/>
  <c r="L4336" i="1"/>
  <c r="O4335" i="1" s="1"/>
  <c r="G4336" i="1"/>
  <c r="K4336" i="1" s="1"/>
  <c r="L4335" i="1"/>
  <c r="G4335" i="1"/>
  <c r="K4335" i="1" s="1"/>
  <c r="L4334" i="1"/>
  <c r="E4334" i="1"/>
  <c r="S4333" i="1"/>
  <c r="R4333" i="1"/>
  <c r="U4332" i="1"/>
  <c r="K4332" i="1"/>
  <c r="G4332" i="1"/>
  <c r="G4331" i="1"/>
  <c r="K4331" i="1" s="1"/>
  <c r="T4330" i="1"/>
  <c r="U4330" i="1" s="1"/>
  <c r="U4333" i="1" s="1"/>
  <c r="G4330" i="1"/>
  <c r="L4329" i="1"/>
  <c r="E4329" i="1"/>
  <c r="K4328" i="1"/>
  <c r="G4328" i="1"/>
  <c r="K4327" i="1"/>
  <c r="G4327" i="1"/>
  <c r="L4326" i="1"/>
  <c r="L4327" i="1" s="1"/>
  <c r="L4328" i="1" s="1"/>
  <c r="O4327" i="1" s="1"/>
  <c r="E4326" i="1"/>
  <c r="G4325" i="1"/>
  <c r="K4325" i="1" s="1"/>
  <c r="L4324" i="1"/>
  <c r="L4325" i="1" s="1"/>
  <c r="O4324" i="1" s="1"/>
  <c r="G4324" i="1"/>
  <c r="K4324" i="1" s="1"/>
  <c r="L4323" i="1"/>
  <c r="E4323" i="1"/>
  <c r="K4322" i="1"/>
  <c r="G4322" i="1"/>
  <c r="K4321" i="1"/>
  <c r="G4321" i="1"/>
  <c r="L4320" i="1"/>
  <c r="L4321" i="1" s="1"/>
  <c r="L4322" i="1" s="1"/>
  <c r="O4321" i="1" s="1"/>
  <c r="E4320" i="1"/>
  <c r="G4319" i="1"/>
  <c r="K4319" i="1" s="1"/>
  <c r="G4318" i="1"/>
  <c r="L4317" i="1"/>
  <c r="E4317" i="1"/>
  <c r="K4316" i="1"/>
  <c r="G4316" i="1"/>
  <c r="K4315" i="1"/>
  <c r="G4315" i="1"/>
  <c r="L4314" i="1"/>
  <c r="L4315" i="1" s="1"/>
  <c r="L4316" i="1" s="1"/>
  <c r="O4315" i="1" s="1"/>
  <c r="E4314" i="1"/>
  <c r="K4312" i="1"/>
  <c r="G4312" i="1"/>
  <c r="L4311" i="1"/>
  <c r="L4312" i="1" s="1"/>
  <c r="O4312" i="1" s="1"/>
  <c r="E4311" i="1"/>
  <c r="S4310" i="1"/>
  <c r="R4310" i="1"/>
  <c r="G4309" i="1"/>
  <c r="K4309" i="1" s="1"/>
  <c r="K4308" i="1"/>
  <c r="G4308" i="1"/>
  <c r="U4307" i="1"/>
  <c r="K4307" i="1"/>
  <c r="G4307" i="1"/>
  <c r="L4306" i="1"/>
  <c r="T4307" i="1" s="1"/>
  <c r="E4306" i="1"/>
  <c r="K4304" i="1"/>
  <c r="G4304" i="1"/>
  <c r="L4303" i="1"/>
  <c r="L4304" i="1" s="1"/>
  <c r="O4304" i="1" s="1"/>
  <c r="E4303" i="1"/>
  <c r="G4302" i="1"/>
  <c r="K4302" i="1" s="1"/>
  <c r="K4301" i="1"/>
  <c r="G4301" i="1"/>
  <c r="K4300" i="1"/>
  <c r="G4300" i="1"/>
  <c r="L4299" i="1"/>
  <c r="L4300" i="1" s="1"/>
  <c r="L4301" i="1" s="1"/>
  <c r="L4302" i="1" s="1"/>
  <c r="O4300" i="1" s="1"/>
  <c r="E4299" i="1"/>
  <c r="K4297" i="1"/>
  <c r="G4297" i="1"/>
  <c r="L4296" i="1"/>
  <c r="L4297" i="1" s="1"/>
  <c r="O4297" i="1" s="1"/>
  <c r="E4296" i="1"/>
  <c r="G4295" i="1"/>
  <c r="K4295" i="1" s="1"/>
  <c r="L4294" i="1"/>
  <c r="L4295" i="1" s="1"/>
  <c r="O4294" i="1" s="1"/>
  <c r="G4294" i="1"/>
  <c r="K4294" i="1" s="1"/>
  <c r="L4293" i="1"/>
  <c r="E4293" i="1"/>
  <c r="G4291" i="1"/>
  <c r="L4290" i="1"/>
  <c r="E4290" i="1"/>
  <c r="L4288" i="1"/>
  <c r="O4288" i="1" s="1"/>
  <c r="G4288" i="1"/>
  <c r="K4288" i="1" s="1"/>
  <c r="L4287" i="1"/>
  <c r="E4287" i="1"/>
  <c r="G4285" i="1"/>
  <c r="L4284" i="1"/>
  <c r="E4284" i="1"/>
  <c r="L4282" i="1"/>
  <c r="O4282" i="1" s="1"/>
  <c r="G4282" i="1"/>
  <c r="K4282" i="1" s="1"/>
  <c r="L4281" i="1"/>
  <c r="E4281" i="1"/>
  <c r="S4280" i="1"/>
  <c r="R4280" i="1"/>
  <c r="K4279" i="1"/>
  <c r="G4279" i="1"/>
  <c r="K4278" i="1"/>
  <c r="G4278" i="1"/>
  <c r="K4277" i="1"/>
  <c r="G4277" i="1"/>
  <c r="G4276" i="1"/>
  <c r="K4276" i="1" s="1"/>
  <c r="T4274" i="1"/>
  <c r="U4274" i="1" s="1"/>
  <c r="L4274" i="1"/>
  <c r="L4276" i="1" s="1"/>
  <c r="L4277" i="1" s="1"/>
  <c r="L4278" i="1" s="1"/>
  <c r="L4279" i="1" s="1"/>
  <c r="O4274" i="1" s="1"/>
  <c r="G4274" i="1"/>
  <c r="K4274" i="1" s="1"/>
  <c r="L4273" i="1"/>
  <c r="E4273" i="1"/>
  <c r="S4272" i="1"/>
  <c r="R4272" i="1"/>
  <c r="K4270" i="1"/>
  <c r="G4270" i="1"/>
  <c r="U4269" i="1"/>
  <c r="U4272" i="1" s="1"/>
  <c r="K4269" i="1"/>
  <c r="G4269" i="1"/>
  <c r="G4268" i="1"/>
  <c r="K4268" i="1" s="1"/>
  <c r="T4267" i="1"/>
  <c r="U4267" i="1" s="1"/>
  <c r="U4270" i="1" s="1"/>
  <c r="G4267" i="1"/>
  <c r="L4266" i="1"/>
  <c r="E4266" i="1"/>
  <c r="S4265" i="1"/>
  <c r="R4265" i="1"/>
  <c r="G4264" i="1"/>
  <c r="K4264" i="1" s="1"/>
  <c r="G4263" i="1"/>
  <c r="K4263" i="1" s="1"/>
  <c r="K4262" i="1"/>
  <c r="G4262" i="1"/>
  <c r="U4261" i="1"/>
  <c r="K4261" i="1"/>
  <c r="G4261" i="1"/>
  <c r="L4260" i="1"/>
  <c r="T4261" i="1" s="1"/>
  <c r="E4260" i="1"/>
  <c r="S4259" i="1"/>
  <c r="R4259" i="1"/>
  <c r="G4258" i="1"/>
  <c r="K4258" i="1" s="1"/>
  <c r="G4257" i="1"/>
  <c r="K4257" i="1" s="1"/>
  <c r="G4256" i="1"/>
  <c r="K4256" i="1" s="1"/>
  <c r="K4255" i="1"/>
  <c r="G4255" i="1"/>
  <c r="U4252" i="1"/>
  <c r="K4252" i="1"/>
  <c r="G4252" i="1"/>
  <c r="L4251" i="1"/>
  <c r="T4252" i="1" s="1"/>
  <c r="E4251" i="1"/>
  <c r="S4250" i="1"/>
  <c r="R4250" i="1"/>
  <c r="K4248" i="1"/>
  <c r="G4248" i="1"/>
  <c r="K4247" i="1"/>
  <c r="G4247" i="1"/>
  <c r="G4246" i="1"/>
  <c r="K4246" i="1" s="1"/>
  <c r="T4245" i="1"/>
  <c r="U4245" i="1" s="1"/>
  <c r="L4245" i="1"/>
  <c r="L4246" i="1" s="1"/>
  <c r="L4247" i="1" s="1"/>
  <c r="L4248" i="1" s="1"/>
  <c r="O4245" i="1" s="1"/>
  <c r="G4245" i="1"/>
  <c r="K4245" i="1" s="1"/>
  <c r="L4244" i="1"/>
  <c r="E4244" i="1"/>
  <c r="S4243" i="1"/>
  <c r="R4243" i="1"/>
  <c r="K4242" i="1"/>
  <c r="G4242" i="1"/>
  <c r="K4241" i="1"/>
  <c r="G4241" i="1"/>
  <c r="K4240" i="1"/>
  <c r="G4240" i="1"/>
  <c r="G4239" i="1"/>
  <c r="K4239" i="1" s="1"/>
  <c r="T4238" i="1"/>
  <c r="U4238" i="1" s="1"/>
  <c r="L4238" i="1"/>
  <c r="G4238" i="1"/>
  <c r="K4238" i="1" s="1"/>
  <c r="L4237" i="1"/>
  <c r="E4237" i="1"/>
  <c r="S4235" i="1"/>
  <c r="R4235" i="1"/>
  <c r="K4234" i="1"/>
  <c r="G4234" i="1"/>
  <c r="G4233" i="1"/>
  <c r="K4233" i="1" s="1"/>
  <c r="K4232" i="1"/>
  <c r="G4232" i="1"/>
  <c r="U4231" i="1"/>
  <c r="K4231" i="1"/>
  <c r="G4231" i="1"/>
  <c r="U4230" i="1"/>
  <c r="K4230" i="1"/>
  <c r="G4230" i="1"/>
  <c r="O4229" i="1"/>
  <c r="K4229" i="1"/>
  <c r="G4229" i="1"/>
  <c r="L4228" i="1"/>
  <c r="L4229" i="1" s="1"/>
  <c r="L4230" i="1" s="1"/>
  <c r="L4231" i="1" s="1"/>
  <c r="L4232" i="1" s="1"/>
  <c r="L4233" i="1" s="1"/>
  <c r="L4234" i="1" s="1"/>
  <c r="E4228" i="1"/>
  <c r="S4227" i="1"/>
  <c r="R4227" i="1"/>
  <c r="G4226" i="1"/>
  <c r="K4226" i="1" s="1"/>
  <c r="G4225" i="1"/>
  <c r="K4225" i="1" s="1"/>
  <c r="G4224" i="1"/>
  <c r="K4224" i="1" s="1"/>
  <c r="K4223" i="1"/>
  <c r="G4223" i="1"/>
  <c r="K4222" i="1"/>
  <c r="G4222" i="1"/>
  <c r="L4221" i="1"/>
  <c r="E4221" i="1"/>
  <c r="S4220" i="1"/>
  <c r="R4220" i="1"/>
  <c r="G4219" i="1"/>
  <c r="K4219" i="1" s="1"/>
  <c r="G4218" i="1"/>
  <c r="K4218" i="1" s="1"/>
  <c r="G4217" i="1"/>
  <c r="K4217" i="1" s="1"/>
  <c r="K4216" i="1"/>
  <c r="G4216" i="1"/>
  <c r="K4215" i="1"/>
  <c r="G4215" i="1"/>
  <c r="L4214" i="1"/>
  <c r="E4214" i="1"/>
  <c r="S4213" i="1"/>
  <c r="R4213" i="1"/>
  <c r="G4212" i="1"/>
  <c r="K4212" i="1" s="1"/>
  <c r="G4211" i="1"/>
  <c r="K4211" i="1" s="1"/>
  <c r="G4210" i="1"/>
  <c r="K4210" i="1" s="1"/>
  <c r="K4209" i="1"/>
  <c r="G4209" i="1"/>
  <c r="K4208" i="1"/>
  <c r="G4208" i="1"/>
  <c r="L4207" i="1"/>
  <c r="T4208" i="1" s="1"/>
  <c r="U4208" i="1" s="1"/>
  <c r="E4207" i="1"/>
  <c r="S4206" i="1"/>
  <c r="R4206" i="1"/>
  <c r="G4205" i="1"/>
  <c r="K4205" i="1" s="1"/>
  <c r="G4204" i="1"/>
  <c r="K4204" i="1" s="1"/>
  <c r="G4203" i="1"/>
  <c r="K4203" i="1" s="1"/>
  <c r="K4202" i="1"/>
  <c r="G4202" i="1"/>
  <c r="X4201" i="1"/>
  <c r="T4201" i="1"/>
  <c r="U4201" i="1" s="1"/>
  <c r="L4201" i="1"/>
  <c r="L4202" i="1" s="1"/>
  <c r="L4203" i="1" s="1"/>
  <c r="L4204" i="1" s="1"/>
  <c r="L4205" i="1" s="1"/>
  <c r="O4201" i="1" s="1"/>
  <c r="G4201" i="1"/>
  <c r="K4201" i="1" s="1"/>
  <c r="L4200" i="1"/>
  <c r="E4200" i="1"/>
  <c r="X4198" i="1"/>
  <c r="K4198" i="1"/>
  <c r="G4198" i="1"/>
  <c r="L4197" i="1"/>
  <c r="L4198" i="1" s="1"/>
  <c r="O4198" i="1" s="1"/>
  <c r="E4197" i="1"/>
  <c r="X4195" i="1"/>
  <c r="G4195" i="1"/>
  <c r="K4195" i="1" s="1"/>
  <c r="L4194" i="1"/>
  <c r="E4194" i="1"/>
  <c r="K4193" i="1"/>
  <c r="G4193" i="1"/>
  <c r="G4192" i="1"/>
  <c r="K4192" i="1" s="1"/>
  <c r="K4191" i="1"/>
  <c r="G4191" i="1"/>
  <c r="S4190" i="1"/>
  <c r="R4190" i="1"/>
  <c r="G4190" i="1"/>
  <c r="K4190" i="1" s="1"/>
  <c r="K4189" i="1"/>
  <c r="G4189" i="1"/>
  <c r="G4188" i="1"/>
  <c r="K4188" i="1" s="1"/>
  <c r="K4187" i="1"/>
  <c r="G4187" i="1"/>
  <c r="K4186" i="1"/>
  <c r="G4186" i="1"/>
  <c r="K4185" i="1"/>
  <c r="G4185" i="1"/>
  <c r="G4184" i="1"/>
  <c r="K4184" i="1" s="1"/>
  <c r="X4183" i="1"/>
  <c r="U4183" i="1"/>
  <c r="U4185" i="1" s="1"/>
  <c r="L4183" i="1"/>
  <c r="L4184" i="1" s="1"/>
  <c r="L4185" i="1" s="1"/>
  <c r="L4186" i="1" s="1"/>
  <c r="L4187" i="1" s="1"/>
  <c r="L4188" i="1" s="1"/>
  <c r="L4189" i="1" s="1"/>
  <c r="L4190" i="1" s="1"/>
  <c r="L4191" i="1" s="1"/>
  <c r="L4192" i="1" s="1"/>
  <c r="L4193" i="1" s="1"/>
  <c r="O4182" i="1" s="1"/>
  <c r="G4183" i="1"/>
  <c r="K4183" i="1" s="1"/>
  <c r="L4182" i="1"/>
  <c r="T4183" i="1" s="1"/>
  <c r="E4182" i="1"/>
  <c r="S4181" i="1"/>
  <c r="R4181" i="1"/>
  <c r="G4180" i="1"/>
  <c r="K4180" i="1" s="1"/>
  <c r="K4179" i="1"/>
  <c r="G4179" i="1"/>
  <c r="K4178" i="1"/>
  <c r="G4178" i="1"/>
  <c r="K4177" i="1"/>
  <c r="G4177" i="1"/>
  <c r="G4176" i="1"/>
  <c r="K4176" i="1" s="1"/>
  <c r="X4175" i="1"/>
  <c r="U4175" i="1"/>
  <c r="U4177" i="1" s="1"/>
  <c r="L4175" i="1"/>
  <c r="L4176" i="1" s="1"/>
  <c r="L4177" i="1" s="1"/>
  <c r="L4178" i="1" s="1"/>
  <c r="L4179" i="1" s="1"/>
  <c r="L4180" i="1" s="1"/>
  <c r="O4174" i="1" s="1"/>
  <c r="G4175" i="1"/>
  <c r="K4175" i="1" s="1"/>
  <c r="L4174" i="1"/>
  <c r="T4175" i="1" s="1"/>
  <c r="E4174" i="1"/>
  <c r="S4173" i="1"/>
  <c r="R4173" i="1"/>
  <c r="G4171" i="1"/>
  <c r="K4171" i="1" s="1"/>
  <c r="K4170" i="1"/>
  <c r="G4170" i="1"/>
  <c r="K4169" i="1"/>
  <c r="G4169" i="1"/>
  <c r="K4168" i="1"/>
  <c r="G4168" i="1"/>
  <c r="G4167" i="1"/>
  <c r="K4167" i="1" s="1"/>
  <c r="X4166" i="1"/>
  <c r="U4166" i="1"/>
  <c r="L4166" i="1"/>
  <c r="L4167" i="1" s="1"/>
  <c r="L4168" i="1" s="1"/>
  <c r="L4169" i="1" s="1"/>
  <c r="L4170" i="1" s="1"/>
  <c r="L4171" i="1" s="1"/>
  <c r="O4165" i="1" s="1"/>
  <c r="G4166" i="1"/>
  <c r="K4166" i="1" s="1"/>
  <c r="L4165" i="1"/>
  <c r="T4166" i="1" s="1"/>
  <c r="E4165" i="1"/>
  <c r="S4164" i="1"/>
  <c r="R4164" i="1"/>
  <c r="G4163" i="1"/>
  <c r="K4163" i="1" s="1"/>
  <c r="K4162" i="1"/>
  <c r="G4162" i="1"/>
  <c r="G4161" i="1"/>
  <c r="K4161" i="1" s="1"/>
  <c r="G4160" i="1"/>
  <c r="K4160" i="1" s="1"/>
  <c r="G4159" i="1"/>
  <c r="K4159" i="1" s="1"/>
  <c r="X4158" i="1"/>
  <c r="G4158" i="1"/>
  <c r="K4158" i="1" s="1"/>
  <c r="X4157" i="1"/>
  <c r="G4157" i="1"/>
  <c r="K4157" i="1" s="1"/>
  <c r="L4156" i="1"/>
  <c r="E4156" i="1"/>
  <c r="G4155" i="1"/>
  <c r="K4155" i="1" s="1"/>
  <c r="K4154" i="1"/>
  <c r="G4154" i="1"/>
  <c r="G4153" i="1"/>
  <c r="K4153" i="1" s="1"/>
  <c r="K4152" i="1"/>
  <c r="G4152" i="1"/>
  <c r="G4151" i="1"/>
  <c r="K4151" i="1" s="1"/>
  <c r="X4150" i="1"/>
  <c r="L4150" i="1"/>
  <c r="L4151" i="1" s="1"/>
  <c r="L4152" i="1" s="1"/>
  <c r="L4153" i="1" s="1"/>
  <c r="L4154" i="1" s="1"/>
  <c r="L4155" i="1" s="1"/>
  <c r="O4149" i="1" s="1"/>
  <c r="G4150" i="1"/>
  <c r="K4150" i="1" s="1"/>
  <c r="L4149" i="1"/>
  <c r="E4149" i="1"/>
  <c r="R4148" i="1"/>
  <c r="K4147" i="1"/>
  <c r="G4147" i="1"/>
  <c r="G4146" i="1"/>
  <c r="K4146" i="1" s="1"/>
  <c r="K4145" i="1"/>
  <c r="G4145" i="1"/>
  <c r="U4144" i="1"/>
  <c r="K4144" i="1"/>
  <c r="G4144" i="1"/>
  <c r="G4143" i="1"/>
  <c r="K4143" i="1" s="1"/>
  <c r="X4142" i="1"/>
  <c r="G4142" i="1"/>
  <c r="K4142" i="1" s="1"/>
  <c r="L4141" i="1"/>
  <c r="T4142" i="1" s="1"/>
  <c r="U4142" i="1" s="1"/>
  <c r="E4141" i="1"/>
  <c r="K4140" i="1"/>
  <c r="G4140" i="1"/>
  <c r="G4139" i="1"/>
  <c r="K4139" i="1" s="1"/>
  <c r="G4138" i="1"/>
  <c r="K4138" i="1" s="1"/>
  <c r="S4137" i="1"/>
  <c r="R4137" i="1"/>
  <c r="K4137" i="1"/>
  <c r="G4137" i="1"/>
  <c r="K4136" i="1"/>
  <c r="G4136" i="1"/>
  <c r="K4135" i="1"/>
  <c r="G4135" i="1"/>
  <c r="K4134" i="1"/>
  <c r="G4134" i="1"/>
  <c r="K4133" i="1"/>
  <c r="G4133" i="1"/>
  <c r="K4132" i="1"/>
  <c r="G4132" i="1"/>
  <c r="X4131" i="1"/>
  <c r="T4131" i="1"/>
  <c r="U4129" i="1" s="1"/>
  <c r="K4131" i="1"/>
  <c r="G4131" i="1"/>
  <c r="X4130" i="1"/>
  <c r="T4130" i="1"/>
  <c r="G4130" i="1"/>
  <c r="K4130" i="1" s="1"/>
  <c r="T4129" i="1"/>
  <c r="K4129" i="1"/>
  <c r="G4129" i="1"/>
  <c r="L4128" i="1"/>
  <c r="L4129" i="1" s="1"/>
  <c r="L4130" i="1" s="1"/>
  <c r="L4131" i="1" s="1"/>
  <c r="L4132" i="1" s="1"/>
  <c r="L4133" i="1" s="1"/>
  <c r="L4134" i="1" s="1"/>
  <c r="L4135" i="1" s="1"/>
  <c r="L4136" i="1" s="1"/>
  <c r="L4137" i="1" s="1"/>
  <c r="L4138" i="1" s="1"/>
  <c r="L4139" i="1" s="1"/>
  <c r="L4140" i="1" s="1"/>
  <c r="O4128" i="1" s="1"/>
  <c r="E4128" i="1"/>
  <c r="K4127" i="1"/>
  <c r="G4127" i="1"/>
  <c r="S4126" i="1"/>
  <c r="R4126" i="1"/>
  <c r="G4126" i="1"/>
  <c r="K4126" i="1" s="1"/>
  <c r="K4125" i="1"/>
  <c r="G4125" i="1"/>
  <c r="K4124" i="1"/>
  <c r="G4124" i="1"/>
  <c r="K4123" i="1"/>
  <c r="G4123" i="1"/>
  <c r="G4122" i="1"/>
  <c r="K4122" i="1" s="1"/>
  <c r="K4121" i="1"/>
  <c r="G4121" i="1"/>
  <c r="K4120" i="1"/>
  <c r="G4120" i="1"/>
  <c r="U4119" i="1"/>
  <c r="K4119" i="1"/>
  <c r="G4119" i="1"/>
  <c r="X4118" i="1"/>
  <c r="K4118" i="1"/>
  <c r="G4118" i="1"/>
  <c r="U4117" i="1"/>
  <c r="U4120" i="1" s="1"/>
  <c r="T4117" i="1"/>
  <c r="G4117" i="1"/>
  <c r="K4117" i="1" s="1"/>
  <c r="L4116" i="1"/>
  <c r="E4116" i="1"/>
  <c r="K4115" i="1"/>
  <c r="G4115" i="1"/>
  <c r="K4114" i="1"/>
  <c r="G4114" i="1"/>
  <c r="G4113" i="1"/>
  <c r="K4113" i="1" s="1"/>
  <c r="S4112" i="1"/>
  <c r="R4112" i="1"/>
  <c r="K4112" i="1"/>
  <c r="G4112" i="1"/>
  <c r="G4111" i="1"/>
  <c r="K4111" i="1" s="1"/>
  <c r="K4110" i="1"/>
  <c r="G4110" i="1"/>
  <c r="K4109" i="1"/>
  <c r="G4109" i="1"/>
  <c r="K4108" i="1"/>
  <c r="G4108" i="1"/>
  <c r="G4107" i="1"/>
  <c r="K4107" i="1" s="1"/>
  <c r="K4106" i="1"/>
  <c r="G4106" i="1"/>
  <c r="K4105" i="1"/>
  <c r="G4105" i="1"/>
  <c r="K4104" i="1"/>
  <c r="G4104" i="1"/>
  <c r="X4103" i="1"/>
  <c r="K4103" i="1"/>
  <c r="G4103" i="1"/>
  <c r="X4102" i="1"/>
  <c r="K4102" i="1"/>
  <c r="G4102" i="1"/>
  <c r="U4101" i="1"/>
  <c r="U4104" i="1" s="1"/>
  <c r="T4101" i="1"/>
  <c r="G4101" i="1"/>
  <c r="K4101" i="1" s="1"/>
  <c r="L4100" i="1"/>
  <c r="L4101" i="1" s="1"/>
  <c r="L4102" i="1" s="1"/>
  <c r="L4103" i="1" s="1"/>
  <c r="L4104" i="1" s="1"/>
  <c r="L4105" i="1" s="1"/>
  <c r="L4106" i="1" s="1"/>
  <c r="L4107" i="1" s="1"/>
  <c r="L4108" i="1" s="1"/>
  <c r="L4109" i="1" s="1"/>
  <c r="L4110" i="1" s="1"/>
  <c r="L4111" i="1" s="1"/>
  <c r="L4112" i="1" s="1"/>
  <c r="L4113" i="1" s="1"/>
  <c r="L4114" i="1" s="1"/>
  <c r="L4115" i="1" s="1"/>
  <c r="O4100" i="1" s="1"/>
  <c r="E4100" i="1"/>
  <c r="G4097" i="1"/>
  <c r="K4097" i="1" s="1"/>
  <c r="K4096" i="1"/>
  <c r="G4096" i="1"/>
  <c r="K4095" i="1"/>
  <c r="G4095" i="1"/>
  <c r="K4094" i="1"/>
  <c r="G4094" i="1"/>
  <c r="K4093" i="1"/>
  <c r="G4093" i="1"/>
  <c r="X4092" i="1"/>
  <c r="S4092" i="1"/>
  <c r="S4099" i="1" s="1"/>
  <c r="R4092" i="1"/>
  <c r="R4099" i="1" s="1"/>
  <c r="G4092" i="1"/>
  <c r="K4092" i="1" s="1"/>
  <c r="S4091" i="1"/>
  <c r="R4091" i="1"/>
  <c r="K4091" i="1"/>
  <c r="G4091" i="1"/>
  <c r="K4090" i="1"/>
  <c r="G4090" i="1"/>
  <c r="L4089" i="1"/>
  <c r="E4089" i="1"/>
  <c r="G4088" i="1"/>
  <c r="K4088" i="1" s="1"/>
  <c r="S4087" i="1"/>
  <c r="R4087" i="1"/>
  <c r="K4087" i="1"/>
  <c r="G4087" i="1"/>
  <c r="G4086" i="1"/>
  <c r="K4086" i="1" s="1"/>
  <c r="K4085" i="1"/>
  <c r="G4085" i="1"/>
  <c r="K4084" i="1"/>
  <c r="G4084" i="1"/>
  <c r="K4083" i="1"/>
  <c r="G4083" i="1"/>
  <c r="K4082" i="1"/>
  <c r="G4082" i="1"/>
  <c r="K4081" i="1"/>
  <c r="G4081" i="1"/>
  <c r="G4080" i="1"/>
  <c r="K4080" i="1" s="1"/>
  <c r="G4079" i="1"/>
  <c r="K4079" i="1" s="1"/>
  <c r="G4078" i="1"/>
  <c r="K4078" i="1" s="1"/>
  <c r="X4077" i="1"/>
  <c r="G4077" i="1"/>
  <c r="K4077" i="1" s="1"/>
  <c r="U4075" i="1"/>
  <c r="U4079" i="1" s="1"/>
  <c r="U4082" i="1" s="1"/>
  <c r="T4075" i="1"/>
  <c r="K4075" i="1"/>
  <c r="G4075" i="1"/>
  <c r="L4074" i="1"/>
  <c r="L4075" i="1" s="1"/>
  <c r="L4077" i="1" s="1"/>
  <c r="L4078" i="1" s="1"/>
  <c r="L4079" i="1" s="1"/>
  <c r="L4080" i="1" s="1"/>
  <c r="L4081" i="1" s="1"/>
  <c r="L4082" i="1" s="1"/>
  <c r="L4083" i="1" s="1"/>
  <c r="L4084" i="1" s="1"/>
  <c r="L4085" i="1" s="1"/>
  <c r="L4086" i="1" s="1"/>
  <c r="L4087" i="1" s="1"/>
  <c r="L4088" i="1" s="1"/>
  <c r="O4074" i="1" s="1"/>
  <c r="E4074" i="1"/>
  <c r="R4073" i="1"/>
  <c r="G4072" i="1"/>
  <c r="K4072" i="1" s="1"/>
  <c r="K4071" i="1"/>
  <c r="G4071" i="1"/>
  <c r="K4070" i="1"/>
  <c r="G4070" i="1"/>
  <c r="K4069" i="1"/>
  <c r="G4069" i="1"/>
  <c r="G4068" i="1"/>
  <c r="K4068" i="1" s="1"/>
  <c r="K4067" i="1"/>
  <c r="G4067" i="1"/>
  <c r="K4066" i="1"/>
  <c r="G4066" i="1"/>
  <c r="X4065" i="1"/>
  <c r="K4065" i="1"/>
  <c r="G4065" i="1"/>
  <c r="X4064" i="1"/>
  <c r="T4064" i="1"/>
  <c r="T4066" i="1" s="1"/>
  <c r="S4064" i="1"/>
  <c r="K4064" i="1"/>
  <c r="G4064" i="1"/>
  <c r="G4063" i="1"/>
  <c r="K4063" i="1" s="1"/>
  <c r="L4062" i="1"/>
  <c r="E4062" i="1"/>
  <c r="S4061" i="1"/>
  <c r="R4061" i="1"/>
  <c r="G4061" i="1"/>
  <c r="K4061" i="1" s="1"/>
  <c r="K4060" i="1"/>
  <c r="G4060" i="1"/>
  <c r="K4059" i="1"/>
  <c r="G4059" i="1"/>
  <c r="G4058" i="1"/>
  <c r="K4058" i="1" s="1"/>
  <c r="G4057" i="1"/>
  <c r="K4057" i="1" s="1"/>
  <c r="K4056" i="1"/>
  <c r="G4056" i="1"/>
  <c r="K4055" i="1"/>
  <c r="G4055" i="1"/>
  <c r="K4054" i="1"/>
  <c r="G4054" i="1"/>
  <c r="X4053" i="1"/>
  <c r="K4053" i="1"/>
  <c r="G4053" i="1"/>
  <c r="X4052" i="1"/>
  <c r="K4052" i="1"/>
  <c r="G4052" i="1"/>
  <c r="S4051" i="1"/>
  <c r="R4051" i="1"/>
  <c r="L4051" i="1"/>
  <c r="L4052" i="1" s="1"/>
  <c r="L4053" i="1" s="1"/>
  <c r="L4054" i="1" s="1"/>
  <c r="L4055" i="1" s="1"/>
  <c r="L4056" i="1" s="1"/>
  <c r="L4057" i="1" s="1"/>
  <c r="L4058" i="1" s="1"/>
  <c r="L4059" i="1" s="1"/>
  <c r="L4060" i="1" s="1"/>
  <c r="L4061" i="1" s="1"/>
  <c r="O4050" i="1" s="1"/>
  <c r="K4051" i="1"/>
  <c r="G4051" i="1"/>
  <c r="L4050" i="1"/>
  <c r="T4051" i="1" s="1"/>
  <c r="U4051" i="1" s="1"/>
  <c r="E4050" i="1"/>
  <c r="S4049" i="1"/>
  <c r="R4049" i="1"/>
  <c r="K4048" i="1"/>
  <c r="G4048" i="1"/>
  <c r="K4047" i="1"/>
  <c r="G4047" i="1"/>
  <c r="G4046" i="1"/>
  <c r="K4046" i="1" s="1"/>
  <c r="K4045" i="1"/>
  <c r="G4045" i="1"/>
  <c r="K4044" i="1"/>
  <c r="G4044" i="1"/>
  <c r="X4043" i="1"/>
  <c r="G4043" i="1"/>
  <c r="K4043" i="1" s="1"/>
  <c r="K4042" i="1"/>
  <c r="G4042" i="1"/>
  <c r="U4041" i="1"/>
  <c r="T4041" i="1"/>
  <c r="G4041" i="1"/>
  <c r="K4041" i="1" s="1"/>
  <c r="L4040" i="1"/>
  <c r="L4041" i="1" s="1"/>
  <c r="L4042" i="1" s="1"/>
  <c r="L4043" i="1" s="1"/>
  <c r="L4044" i="1" s="1"/>
  <c r="L4045" i="1" s="1"/>
  <c r="L4046" i="1" s="1"/>
  <c r="L4047" i="1" s="1"/>
  <c r="L4048" i="1" s="1"/>
  <c r="O4040" i="1" s="1"/>
  <c r="E4040" i="1"/>
  <c r="K4039" i="1"/>
  <c r="G4039" i="1"/>
  <c r="G4038" i="1"/>
  <c r="K4038" i="1" s="1"/>
  <c r="L4037" i="1"/>
  <c r="E4037" i="1"/>
  <c r="K4036" i="1"/>
  <c r="G4036" i="1"/>
  <c r="K4035" i="1"/>
  <c r="G4035" i="1"/>
  <c r="G4034" i="1"/>
  <c r="K4034" i="1" s="1"/>
  <c r="L4033" i="1"/>
  <c r="E4033" i="1"/>
  <c r="S4032" i="1"/>
  <c r="R4032" i="1"/>
  <c r="G4031" i="1"/>
  <c r="K4031" i="1" s="1"/>
  <c r="G4030" i="1"/>
  <c r="K4030" i="1" s="1"/>
  <c r="K4029" i="1"/>
  <c r="G4029" i="1"/>
  <c r="K4028" i="1"/>
  <c r="G4028" i="1"/>
  <c r="K4027" i="1"/>
  <c r="G4027" i="1"/>
  <c r="X4026" i="1"/>
  <c r="K4026" i="1"/>
  <c r="G4026" i="1"/>
  <c r="K4025" i="1"/>
  <c r="G4025" i="1"/>
  <c r="G4024" i="1"/>
  <c r="K4024" i="1" s="1"/>
  <c r="G4023" i="1"/>
  <c r="N4023" i="1" s="1"/>
  <c r="L4021" i="1"/>
  <c r="E4021" i="1"/>
  <c r="S4020" i="1"/>
  <c r="R4020" i="1"/>
  <c r="K4019" i="1"/>
  <c r="G4019" i="1"/>
  <c r="K4018" i="1"/>
  <c r="G4018" i="1"/>
  <c r="K4017" i="1"/>
  <c r="G4017" i="1"/>
  <c r="G4016" i="1"/>
  <c r="K4016" i="1" s="1"/>
  <c r="K4015" i="1"/>
  <c r="G4015" i="1"/>
  <c r="X4014" i="1"/>
  <c r="G4014" i="1"/>
  <c r="K4014" i="1" s="1"/>
  <c r="G4013" i="1"/>
  <c r="K4013" i="1" s="1"/>
  <c r="K4012" i="1"/>
  <c r="G4012" i="1"/>
  <c r="U4011" i="1"/>
  <c r="T4011" i="1"/>
  <c r="G4011" i="1"/>
  <c r="K4011" i="1" s="1"/>
  <c r="L4010" i="1"/>
  <c r="L4011" i="1" s="1"/>
  <c r="L4012" i="1" s="1"/>
  <c r="L4013" i="1" s="1"/>
  <c r="L4014" i="1" s="1"/>
  <c r="L4015" i="1" s="1"/>
  <c r="L4016" i="1" s="1"/>
  <c r="L4017" i="1" s="1"/>
  <c r="L4018" i="1" s="1"/>
  <c r="L4019" i="1" s="1"/>
  <c r="O4010" i="1" s="1"/>
  <c r="E4010" i="1"/>
  <c r="S4009" i="1"/>
  <c r="R4009" i="1"/>
  <c r="G4008" i="1"/>
  <c r="K4008" i="1" s="1"/>
  <c r="K4007" i="1"/>
  <c r="G4007" i="1"/>
  <c r="L4006" i="1"/>
  <c r="L4007" i="1" s="1"/>
  <c r="L4008" i="1" s="1"/>
  <c r="O3999" i="1" s="1"/>
  <c r="K4006" i="1"/>
  <c r="G4006" i="1"/>
  <c r="G4005" i="1"/>
  <c r="K4005" i="1" s="1"/>
  <c r="G4004" i="1"/>
  <c r="K4004" i="1" s="1"/>
  <c r="X4003" i="1"/>
  <c r="G4003" i="1"/>
  <c r="K4003" i="1" s="1"/>
  <c r="G4002" i="1"/>
  <c r="K4002" i="1" s="1"/>
  <c r="G4001" i="1"/>
  <c r="K4001" i="1" s="1"/>
  <c r="U4000" i="1"/>
  <c r="T4000" i="1"/>
  <c r="K4000" i="1"/>
  <c r="G4000" i="1"/>
  <c r="L3999" i="1"/>
  <c r="L4000" i="1" s="1"/>
  <c r="L4001" i="1" s="1"/>
  <c r="L4002" i="1" s="1"/>
  <c r="L4003" i="1" s="1"/>
  <c r="L4004" i="1" s="1"/>
  <c r="L4005" i="1" s="1"/>
  <c r="E3999" i="1"/>
  <c r="S3998" i="1"/>
  <c r="R3998" i="1"/>
  <c r="K3997" i="1"/>
  <c r="G3997" i="1"/>
  <c r="G3996" i="1"/>
  <c r="K3996" i="1" s="1"/>
  <c r="K3995" i="1"/>
  <c r="G3995" i="1"/>
  <c r="K3994" i="1"/>
  <c r="G3994" i="1"/>
  <c r="G3993" i="1"/>
  <c r="K3993" i="1" s="1"/>
  <c r="X3992" i="1"/>
  <c r="K3992" i="1"/>
  <c r="G3992" i="1"/>
  <c r="K3991" i="1"/>
  <c r="G3991" i="1"/>
  <c r="K3990" i="1"/>
  <c r="G3990" i="1"/>
  <c r="K3989" i="1"/>
  <c r="G3989" i="1"/>
  <c r="N3989" i="1" s="1"/>
  <c r="N3988" i="1"/>
  <c r="K3988" i="1"/>
  <c r="G3988" i="1"/>
  <c r="L3987" i="1"/>
  <c r="T3988" i="1" s="1"/>
  <c r="U3988" i="1" s="1"/>
  <c r="E3987" i="1"/>
  <c r="S3986" i="1"/>
  <c r="R3986" i="1"/>
  <c r="K3985" i="1"/>
  <c r="G3985" i="1"/>
  <c r="K3984" i="1"/>
  <c r="G3984" i="1"/>
  <c r="G3983" i="1"/>
  <c r="K3983" i="1" s="1"/>
  <c r="G3982" i="1"/>
  <c r="K3982" i="1" s="1"/>
  <c r="K3981" i="1"/>
  <c r="G3981" i="1"/>
  <c r="X3980" i="1"/>
  <c r="G3980" i="1"/>
  <c r="K3980" i="1" s="1"/>
  <c r="G3979" i="1"/>
  <c r="K3979" i="1" s="1"/>
  <c r="K3978" i="1"/>
  <c r="G3978" i="1"/>
  <c r="T3977" i="1"/>
  <c r="U3977" i="1" s="1"/>
  <c r="U3980" i="1" s="1"/>
  <c r="G3977" i="1"/>
  <c r="L3976" i="1"/>
  <c r="E3976" i="1"/>
  <c r="K3973" i="1"/>
  <c r="G3973" i="1"/>
  <c r="K3972" i="1"/>
  <c r="G3972" i="1"/>
  <c r="G3971" i="1"/>
  <c r="K3971" i="1" s="1"/>
  <c r="G3970" i="1"/>
  <c r="K3970" i="1" s="1"/>
  <c r="K3969" i="1"/>
  <c r="G3969" i="1"/>
  <c r="K3968" i="1"/>
  <c r="G3968" i="1"/>
  <c r="X3967" i="1"/>
  <c r="K3967" i="1"/>
  <c r="G3967" i="1"/>
  <c r="K3966" i="1"/>
  <c r="G3966" i="1"/>
  <c r="K3965" i="1"/>
  <c r="G3965" i="1"/>
  <c r="E3964" i="1"/>
  <c r="S3963" i="1"/>
  <c r="R3963" i="1"/>
  <c r="G3962" i="1"/>
  <c r="K3962" i="1" s="1"/>
  <c r="K3961" i="1"/>
  <c r="G3961" i="1"/>
  <c r="K3960" i="1"/>
  <c r="G3960" i="1"/>
  <c r="K3959" i="1"/>
  <c r="G3959" i="1"/>
  <c r="G3958" i="1"/>
  <c r="K3958" i="1" s="1"/>
  <c r="X3957" i="1"/>
  <c r="G3957" i="1"/>
  <c r="K3957" i="1" s="1"/>
  <c r="X3956" i="1"/>
  <c r="G3956" i="1"/>
  <c r="K3956" i="1" s="1"/>
  <c r="G3955" i="1"/>
  <c r="K3955" i="1" s="1"/>
  <c r="G3954" i="1"/>
  <c r="N3953" i="1"/>
  <c r="K3953" i="1"/>
  <c r="G3953" i="1"/>
  <c r="U3952" i="1"/>
  <c r="T3952" i="1"/>
  <c r="N3952" i="1"/>
  <c r="L3952" i="1"/>
  <c r="L3953" i="1" s="1"/>
  <c r="K3952" i="1"/>
  <c r="G3952" i="1"/>
  <c r="S3950" i="1"/>
  <c r="R3950" i="1"/>
  <c r="G3949" i="1"/>
  <c r="K3949" i="1" s="1"/>
  <c r="G3948" i="1"/>
  <c r="K3948" i="1" s="1"/>
  <c r="K3947" i="1"/>
  <c r="G3947" i="1"/>
  <c r="G3946" i="1"/>
  <c r="K3946" i="1" s="1"/>
  <c r="G3945" i="1"/>
  <c r="K3945" i="1" s="1"/>
  <c r="X3944" i="1"/>
  <c r="K3944" i="1"/>
  <c r="G3944" i="1"/>
  <c r="X3943" i="1"/>
  <c r="G3943" i="1"/>
  <c r="K3943" i="1" s="1"/>
  <c r="K3942" i="1"/>
  <c r="G3942" i="1"/>
  <c r="K3941" i="1"/>
  <c r="G3941" i="1"/>
  <c r="N3941" i="1" s="1"/>
  <c r="G3940" i="1"/>
  <c r="K3939" i="1"/>
  <c r="G3939" i="1"/>
  <c r="L3938" i="1"/>
  <c r="T3939" i="1" s="1"/>
  <c r="U3939" i="1" s="1"/>
  <c r="E3938" i="1"/>
  <c r="S3937" i="1"/>
  <c r="R3937" i="1"/>
  <c r="K3936" i="1"/>
  <c r="G3936" i="1"/>
  <c r="K3935" i="1"/>
  <c r="G3935" i="1"/>
  <c r="K3934" i="1"/>
  <c r="G3934" i="1"/>
  <c r="G3933" i="1"/>
  <c r="K3933" i="1" s="1"/>
  <c r="K3932" i="1"/>
  <c r="G3932" i="1"/>
  <c r="X3931" i="1"/>
  <c r="K3931" i="1"/>
  <c r="G3931" i="1"/>
  <c r="K3930" i="1"/>
  <c r="G3930" i="1"/>
  <c r="K3929" i="1"/>
  <c r="G3929" i="1"/>
  <c r="N3928" i="1"/>
  <c r="L3928" i="1"/>
  <c r="L3929" i="1" s="1"/>
  <c r="L3930" i="1" s="1"/>
  <c r="L3931" i="1" s="1"/>
  <c r="L3932" i="1" s="1"/>
  <c r="L3933" i="1" s="1"/>
  <c r="L3934" i="1" s="1"/>
  <c r="L3935" i="1" s="1"/>
  <c r="L3936" i="1" s="1"/>
  <c r="O3927" i="1" s="1"/>
  <c r="K3928" i="1"/>
  <c r="G3928" i="1"/>
  <c r="K3927" i="1"/>
  <c r="G3927" i="1"/>
  <c r="L3926" i="1"/>
  <c r="L3927" i="1" s="1"/>
  <c r="E3926" i="1"/>
  <c r="S3925" i="1"/>
  <c r="R3925" i="1"/>
  <c r="G3923" i="1"/>
  <c r="K3923" i="1" s="1"/>
  <c r="K3922" i="1"/>
  <c r="G3922" i="1"/>
  <c r="K3921" i="1"/>
  <c r="G3921" i="1"/>
  <c r="K3920" i="1"/>
  <c r="G3920" i="1"/>
  <c r="G3919" i="1"/>
  <c r="K3919" i="1" s="1"/>
  <c r="X3918" i="1"/>
  <c r="G3918" i="1"/>
  <c r="K3918" i="1" s="1"/>
  <c r="K3917" i="1"/>
  <c r="G3917" i="1"/>
  <c r="K3916" i="1"/>
  <c r="G3916" i="1"/>
  <c r="G3915" i="1"/>
  <c r="K3915" i="1" s="1"/>
  <c r="K3914" i="1"/>
  <c r="G3914" i="1"/>
  <c r="G3913" i="1"/>
  <c r="K3913" i="1" s="1"/>
  <c r="L3912" i="1"/>
  <c r="T3913" i="1" s="1"/>
  <c r="U3913" i="1" s="1"/>
  <c r="E3912" i="1"/>
  <c r="G3911" i="1"/>
  <c r="K3911" i="1" s="1"/>
  <c r="G3910" i="1"/>
  <c r="K3910" i="1" s="1"/>
  <c r="G3909" i="1"/>
  <c r="K3909" i="1" s="1"/>
  <c r="K3908" i="1"/>
  <c r="G3908" i="1"/>
  <c r="X3907" i="1"/>
  <c r="K3907" i="1"/>
  <c r="G3907" i="1"/>
  <c r="G3906" i="1"/>
  <c r="K3906" i="1" s="1"/>
  <c r="G3905" i="1"/>
  <c r="K3905" i="1" s="1"/>
  <c r="K3904" i="1"/>
  <c r="G3904" i="1"/>
  <c r="N3904" i="1" s="1"/>
  <c r="G3903" i="1"/>
  <c r="K3903" i="1" s="1"/>
  <c r="K3902" i="1"/>
  <c r="G3902" i="1"/>
  <c r="L3901" i="1"/>
  <c r="L3902" i="1" s="1"/>
  <c r="L3903" i="1" s="1"/>
  <c r="L3904" i="1" s="1"/>
  <c r="L3905" i="1" s="1"/>
  <c r="L3906" i="1" s="1"/>
  <c r="L3907" i="1" s="1"/>
  <c r="L3908" i="1" s="1"/>
  <c r="L3909" i="1" s="1"/>
  <c r="L3910" i="1" s="1"/>
  <c r="L3911" i="1" s="1"/>
  <c r="O3901" i="1" s="1"/>
  <c r="E3901" i="1"/>
  <c r="S3900" i="1"/>
  <c r="R3900" i="1"/>
  <c r="K3898" i="1"/>
  <c r="G3898" i="1"/>
  <c r="K3897" i="1"/>
  <c r="G3897" i="1"/>
  <c r="K3896" i="1"/>
  <c r="G3896" i="1"/>
  <c r="G3895" i="1"/>
  <c r="K3895" i="1" s="1"/>
  <c r="K3894" i="1"/>
  <c r="G3894" i="1"/>
  <c r="X3893" i="1"/>
  <c r="K3893" i="1"/>
  <c r="G3893" i="1"/>
  <c r="K3892" i="1"/>
  <c r="G3892" i="1"/>
  <c r="K3891" i="1"/>
  <c r="G3891" i="1"/>
  <c r="K3890" i="1"/>
  <c r="G3890" i="1"/>
  <c r="N3890" i="1" s="1"/>
  <c r="G3889" i="1"/>
  <c r="K3889" i="1" s="1"/>
  <c r="G3888" i="1"/>
  <c r="K3888" i="1" s="1"/>
  <c r="L3887" i="1"/>
  <c r="L3888" i="1" s="1"/>
  <c r="G3887" i="1"/>
  <c r="K3887" i="1" s="1"/>
  <c r="L3886" i="1"/>
  <c r="T3887" i="1" s="1"/>
  <c r="U3887" i="1" s="1"/>
  <c r="E3886" i="1"/>
  <c r="G3885" i="1"/>
  <c r="K3885" i="1" s="1"/>
  <c r="K3884" i="1"/>
  <c r="G3884" i="1"/>
  <c r="G3883" i="1"/>
  <c r="K3883" i="1" s="1"/>
  <c r="G3882" i="1"/>
  <c r="K3882" i="1" s="1"/>
  <c r="G3881" i="1"/>
  <c r="K3881" i="1" s="1"/>
  <c r="X3880" i="1"/>
  <c r="G3880" i="1"/>
  <c r="K3880" i="1" s="1"/>
  <c r="K3879" i="1"/>
  <c r="G3879" i="1"/>
  <c r="K3878" i="1"/>
  <c r="G3878" i="1"/>
  <c r="G3877" i="1"/>
  <c r="G3876" i="1"/>
  <c r="K3876" i="1" s="1"/>
  <c r="G3875" i="1"/>
  <c r="K3875" i="1" s="1"/>
  <c r="L3874" i="1"/>
  <c r="E3874" i="1"/>
  <c r="S3873" i="1"/>
  <c r="R3873" i="1"/>
  <c r="G3871" i="1"/>
  <c r="K3871" i="1" s="1"/>
  <c r="K3870" i="1"/>
  <c r="G3870" i="1"/>
  <c r="K3869" i="1"/>
  <c r="G3869" i="1"/>
  <c r="K3868" i="1"/>
  <c r="G3868" i="1"/>
  <c r="G3867" i="1"/>
  <c r="K3867" i="1" s="1"/>
  <c r="X3866" i="1"/>
  <c r="G3866" i="1"/>
  <c r="K3866" i="1" s="1"/>
  <c r="K3865" i="1"/>
  <c r="G3865" i="1"/>
  <c r="G3864" i="1"/>
  <c r="K3864" i="1" s="1"/>
  <c r="N3863" i="1"/>
  <c r="K3863" i="1"/>
  <c r="G3863" i="1"/>
  <c r="K3862" i="1"/>
  <c r="G3862" i="1"/>
  <c r="K3861" i="1"/>
  <c r="G3861" i="1"/>
  <c r="T3860" i="1"/>
  <c r="U3860" i="1" s="1"/>
  <c r="U3863" i="1" s="1"/>
  <c r="K3860" i="1"/>
  <c r="G3860" i="1"/>
  <c r="L3859" i="1"/>
  <c r="L3860" i="1" s="1"/>
  <c r="L3861" i="1" s="1"/>
  <c r="L3862" i="1" s="1"/>
  <c r="L3863" i="1" s="1"/>
  <c r="L3864" i="1" s="1"/>
  <c r="L3865" i="1" s="1"/>
  <c r="L3866" i="1" s="1"/>
  <c r="L3867" i="1" s="1"/>
  <c r="L3868" i="1" s="1"/>
  <c r="L3869" i="1" s="1"/>
  <c r="L3870" i="1" s="1"/>
  <c r="L3871" i="1" s="1"/>
  <c r="O3859" i="1" s="1"/>
  <c r="E3859" i="1"/>
  <c r="S3858" i="1"/>
  <c r="R3858" i="1"/>
  <c r="K3857" i="1"/>
  <c r="G3857" i="1"/>
  <c r="G3856" i="1"/>
  <c r="K3856" i="1" s="1"/>
  <c r="G3855" i="1"/>
  <c r="K3855" i="1" s="1"/>
  <c r="G3854" i="1"/>
  <c r="K3854" i="1" s="1"/>
  <c r="K3853" i="1"/>
  <c r="G3853" i="1"/>
  <c r="X3852" i="1"/>
  <c r="K3852" i="1"/>
  <c r="G3852" i="1"/>
  <c r="G3851" i="1"/>
  <c r="K3851" i="1" s="1"/>
  <c r="K3850" i="1"/>
  <c r="G3850" i="1"/>
  <c r="N3849" i="1"/>
  <c r="K3849" i="1"/>
  <c r="G3849" i="1"/>
  <c r="G3848" i="1"/>
  <c r="K3848" i="1" s="1"/>
  <c r="K3847" i="1"/>
  <c r="G3847" i="1"/>
  <c r="L3846" i="1"/>
  <c r="T3847" i="1" s="1"/>
  <c r="U3847" i="1" s="1"/>
  <c r="E3846" i="1"/>
  <c r="K3844" i="1"/>
  <c r="G3844" i="1"/>
  <c r="G3843" i="1"/>
  <c r="K3843" i="1" s="1"/>
  <c r="L3842" i="1"/>
  <c r="L3843" i="1" s="1"/>
  <c r="L3844" i="1" s="1"/>
  <c r="O3834" i="1" s="1"/>
  <c r="K3842" i="1"/>
  <c r="G3842" i="1"/>
  <c r="K3841" i="1"/>
  <c r="G3841" i="1"/>
  <c r="X3840" i="1"/>
  <c r="K3840" i="1"/>
  <c r="G3840" i="1"/>
  <c r="X3839" i="1"/>
  <c r="K3839" i="1"/>
  <c r="G3839" i="1"/>
  <c r="K3838" i="1"/>
  <c r="G3838" i="1"/>
  <c r="N3837" i="1"/>
  <c r="G3837" i="1"/>
  <c r="K3837" i="1" s="1"/>
  <c r="G3836" i="1"/>
  <c r="K3836" i="1" s="1"/>
  <c r="K3835" i="1"/>
  <c r="G3835" i="1"/>
  <c r="L3834" i="1"/>
  <c r="L3835" i="1" s="1"/>
  <c r="L3836" i="1" s="1"/>
  <c r="L3837" i="1" s="1"/>
  <c r="L3838" i="1" s="1"/>
  <c r="L3839" i="1" s="1"/>
  <c r="L3840" i="1" s="1"/>
  <c r="L3841" i="1" s="1"/>
  <c r="E3834" i="1"/>
  <c r="S3832" i="1"/>
  <c r="R3832" i="1"/>
  <c r="K3832" i="1"/>
  <c r="G3832" i="1"/>
  <c r="G3831" i="1"/>
  <c r="K3831" i="1" s="1"/>
  <c r="G3830" i="1"/>
  <c r="K3830" i="1" s="1"/>
  <c r="G3829" i="1"/>
  <c r="K3829" i="1" s="1"/>
  <c r="K3828" i="1"/>
  <c r="G3828" i="1"/>
  <c r="G3827" i="1"/>
  <c r="K3827" i="1" s="1"/>
  <c r="G3826" i="1"/>
  <c r="K3826" i="1" s="1"/>
  <c r="G3825" i="1"/>
  <c r="K3825" i="1" s="1"/>
  <c r="X3824" i="1"/>
  <c r="G3824" i="1"/>
  <c r="K3824" i="1" s="1"/>
  <c r="G3823" i="1"/>
  <c r="G3822" i="1"/>
  <c r="G3821" i="1"/>
  <c r="K3821" i="1" s="1"/>
  <c r="G3820" i="1"/>
  <c r="K3820" i="1" s="1"/>
  <c r="T3819" i="1"/>
  <c r="U3819" i="1" s="1"/>
  <c r="U3822" i="1" s="1"/>
  <c r="G3819" i="1"/>
  <c r="K3819" i="1" s="1"/>
  <c r="E3818" i="1"/>
  <c r="D3818" i="1"/>
  <c r="L3818" i="1" s="1"/>
  <c r="R3817" i="1"/>
  <c r="G3816" i="1"/>
  <c r="K3816" i="1" s="1"/>
  <c r="G3815" i="1"/>
  <c r="K3815" i="1" s="1"/>
  <c r="K3814" i="1"/>
  <c r="G3814" i="1"/>
  <c r="G3813" i="1"/>
  <c r="K3813" i="1" s="1"/>
  <c r="G3812" i="1"/>
  <c r="K3812" i="1" s="1"/>
  <c r="X3811" i="1"/>
  <c r="K3811" i="1"/>
  <c r="G3811" i="1"/>
  <c r="G3810" i="1"/>
  <c r="K3810" i="1" s="1"/>
  <c r="K3809" i="1"/>
  <c r="G3809" i="1"/>
  <c r="G3808" i="1"/>
  <c r="K3807" i="1"/>
  <c r="G3807" i="1"/>
  <c r="L3806" i="1"/>
  <c r="L3807" i="1" s="1"/>
  <c r="L3808" i="1" s="1"/>
  <c r="L3809" i="1" s="1"/>
  <c r="L3810" i="1" s="1"/>
  <c r="L3811" i="1" s="1"/>
  <c r="L3812" i="1" s="1"/>
  <c r="L3813" i="1" s="1"/>
  <c r="L3814" i="1" s="1"/>
  <c r="L3815" i="1" s="1"/>
  <c r="L3816" i="1" s="1"/>
  <c r="O3805" i="1" s="1"/>
  <c r="G3806" i="1"/>
  <c r="K3806" i="1" s="1"/>
  <c r="L3805" i="1"/>
  <c r="T3806" i="1" s="1"/>
  <c r="U3806" i="1" s="1"/>
  <c r="U3808" i="1" s="1"/>
  <c r="E3805" i="1"/>
  <c r="R3803" i="1"/>
  <c r="K3802" i="1"/>
  <c r="G3802" i="1"/>
  <c r="K3801" i="1"/>
  <c r="G3801" i="1"/>
  <c r="K3800" i="1"/>
  <c r="G3800" i="1"/>
  <c r="G3799" i="1"/>
  <c r="K3799" i="1" s="1"/>
  <c r="K3798" i="1"/>
  <c r="G3798" i="1"/>
  <c r="X3797" i="1"/>
  <c r="K3797" i="1"/>
  <c r="G3797" i="1"/>
  <c r="K3796" i="1"/>
  <c r="G3796" i="1"/>
  <c r="K3795" i="1"/>
  <c r="G3795" i="1"/>
  <c r="K3794" i="1"/>
  <c r="G3794" i="1"/>
  <c r="N3794" i="1" s="1"/>
  <c r="K3793" i="1"/>
  <c r="G3793" i="1"/>
  <c r="K3792" i="1"/>
  <c r="G3792" i="1"/>
  <c r="L3791" i="1"/>
  <c r="E3791" i="1"/>
  <c r="G3789" i="1"/>
  <c r="G3788" i="1"/>
  <c r="K3788" i="1" s="1"/>
  <c r="K3787" i="1"/>
  <c r="G3787" i="1"/>
  <c r="O3786" i="1"/>
  <c r="L3786" i="1"/>
  <c r="L3787" i="1" s="1"/>
  <c r="L3788" i="1" s="1"/>
  <c r="E3786" i="1"/>
  <c r="S3784" i="1"/>
  <c r="R3784" i="1"/>
  <c r="K3784" i="1"/>
  <c r="G3784" i="1"/>
  <c r="G3783" i="1"/>
  <c r="K3783" i="1" s="1"/>
  <c r="G3782" i="1"/>
  <c r="K3782" i="1" s="1"/>
  <c r="G3781" i="1"/>
  <c r="K3781" i="1" s="1"/>
  <c r="K3780" i="1"/>
  <c r="G3780" i="1"/>
  <c r="X3779" i="1"/>
  <c r="K3779" i="1"/>
  <c r="G3779" i="1"/>
  <c r="G3778" i="1"/>
  <c r="K3778" i="1" s="1"/>
  <c r="G3777" i="1"/>
  <c r="K3777" i="1" s="1"/>
  <c r="G3776" i="1"/>
  <c r="K3775" i="1"/>
  <c r="G3775" i="1"/>
  <c r="K3774" i="1"/>
  <c r="G3774" i="1"/>
  <c r="K3772" i="1"/>
  <c r="G3772" i="1"/>
  <c r="L3771" i="1"/>
  <c r="T3772" i="1" s="1"/>
  <c r="U3772" i="1" s="1"/>
  <c r="E3771" i="1"/>
  <c r="S3770" i="1"/>
  <c r="R3770" i="1"/>
  <c r="G3769" i="1"/>
  <c r="K3769" i="1" s="1"/>
  <c r="G3768" i="1"/>
  <c r="K3768" i="1" s="1"/>
  <c r="G3767" i="1"/>
  <c r="K3767" i="1" s="1"/>
  <c r="K3766" i="1"/>
  <c r="G3766" i="1"/>
  <c r="G3765" i="1"/>
  <c r="K3765" i="1" s="1"/>
  <c r="X3764" i="1"/>
  <c r="G3764" i="1"/>
  <c r="K3764" i="1" s="1"/>
  <c r="G3763" i="1"/>
  <c r="K3763" i="1" s="1"/>
  <c r="K3762" i="1"/>
  <c r="G3762" i="1"/>
  <c r="U3761" i="1"/>
  <c r="K3761" i="1"/>
  <c r="G3761" i="1"/>
  <c r="N3761" i="1" s="1"/>
  <c r="K3760" i="1"/>
  <c r="G3760" i="1"/>
  <c r="K3759" i="1"/>
  <c r="G3759" i="1"/>
  <c r="L3758" i="1"/>
  <c r="T3759" i="1" s="1"/>
  <c r="U3759" i="1" s="1"/>
  <c r="U3762" i="1" s="1"/>
  <c r="E3758" i="1"/>
  <c r="S3757" i="1"/>
  <c r="R3757" i="1"/>
  <c r="G3755" i="1"/>
  <c r="K3755" i="1" s="1"/>
  <c r="G3754" i="1"/>
  <c r="K3754" i="1" s="1"/>
  <c r="G3753" i="1"/>
  <c r="K3753" i="1" s="1"/>
  <c r="K3752" i="1"/>
  <c r="G3752" i="1"/>
  <c r="G3751" i="1"/>
  <c r="K3751" i="1" s="1"/>
  <c r="X3750" i="1"/>
  <c r="G3750" i="1"/>
  <c r="K3750" i="1" s="1"/>
  <c r="K3749" i="1"/>
  <c r="G3749" i="1"/>
  <c r="G3748" i="1"/>
  <c r="K3748" i="1" s="1"/>
  <c r="K3747" i="1"/>
  <c r="G3747" i="1"/>
  <c r="N3747" i="1" s="1"/>
  <c r="T3746" i="1"/>
  <c r="U3746" i="1" s="1"/>
  <c r="K3746" i="1"/>
  <c r="G3746" i="1"/>
  <c r="L3745" i="1"/>
  <c r="L3746" i="1" s="1"/>
  <c r="L3747" i="1" s="1"/>
  <c r="L3748" i="1" s="1"/>
  <c r="L3749" i="1" s="1"/>
  <c r="L3750" i="1" s="1"/>
  <c r="L3751" i="1" s="1"/>
  <c r="L3752" i="1" s="1"/>
  <c r="L3753" i="1" s="1"/>
  <c r="L3754" i="1" s="1"/>
  <c r="L3755" i="1" s="1"/>
  <c r="O3744" i="1" s="1"/>
  <c r="G3745" i="1"/>
  <c r="K3745" i="1" s="1"/>
  <c r="S3744" i="1"/>
  <c r="R3744" i="1"/>
  <c r="L3744" i="1"/>
  <c r="E3744" i="1"/>
  <c r="G3742" i="1"/>
  <c r="K3742" i="1" s="1"/>
  <c r="K3741" i="1"/>
  <c r="G3741" i="1"/>
  <c r="G3740" i="1"/>
  <c r="K3740" i="1" s="1"/>
  <c r="K3739" i="1"/>
  <c r="G3739" i="1"/>
  <c r="X3738" i="1"/>
  <c r="K3738" i="1"/>
  <c r="G3738" i="1"/>
  <c r="G3737" i="1"/>
  <c r="K3737" i="1" s="1"/>
  <c r="K3736" i="1"/>
  <c r="G3736" i="1"/>
  <c r="N3735" i="1"/>
  <c r="K3735" i="1"/>
  <c r="G3735" i="1"/>
  <c r="G3734" i="1"/>
  <c r="K3734" i="1" s="1"/>
  <c r="K3733" i="1"/>
  <c r="G3733" i="1"/>
  <c r="L3732" i="1"/>
  <c r="L3733" i="1" s="1"/>
  <c r="L3734" i="1" s="1"/>
  <c r="L3735" i="1" s="1"/>
  <c r="L3736" i="1" s="1"/>
  <c r="L3737" i="1" s="1"/>
  <c r="L3738" i="1" s="1"/>
  <c r="L3739" i="1" s="1"/>
  <c r="L3740" i="1" s="1"/>
  <c r="L3741" i="1" s="1"/>
  <c r="L3742" i="1" s="1"/>
  <c r="O3732" i="1" s="1"/>
  <c r="E3732" i="1"/>
  <c r="S3731" i="1"/>
  <c r="R3731" i="1"/>
  <c r="K3729" i="1"/>
  <c r="G3729" i="1"/>
  <c r="G3728" i="1"/>
  <c r="K3728" i="1" s="1"/>
  <c r="K3727" i="1"/>
  <c r="G3727" i="1"/>
  <c r="G3726" i="1"/>
  <c r="K3726" i="1" s="1"/>
  <c r="K3725" i="1"/>
  <c r="G3725" i="1"/>
  <c r="X3724" i="1"/>
  <c r="K3724" i="1"/>
  <c r="G3724" i="1"/>
  <c r="G3723" i="1"/>
  <c r="K3723" i="1" s="1"/>
  <c r="G3722" i="1"/>
  <c r="K3722" i="1" s="1"/>
  <c r="N3721" i="1"/>
  <c r="K3721" i="1"/>
  <c r="G3721" i="1"/>
  <c r="G3720" i="1"/>
  <c r="K3720" i="1" s="1"/>
  <c r="T3719" i="1"/>
  <c r="U3719" i="1" s="1"/>
  <c r="K3719" i="1"/>
  <c r="G3719" i="1"/>
  <c r="L3718" i="1"/>
  <c r="L3719" i="1" s="1"/>
  <c r="L3720" i="1" s="1"/>
  <c r="L3721" i="1" s="1"/>
  <c r="L3722" i="1" s="1"/>
  <c r="L3723" i="1" s="1"/>
  <c r="L3724" i="1" s="1"/>
  <c r="L3725" i="1" s="1"/>
  <c r="L3726" i="1" s="1"/>
  <c r="L3727" i="1" s="1"/>
  <c r="L3728" i="1" s="1"/>
  <c r="L3729" i="1" s="1"/>
  <c r="O3718" i="1" s="1"/>
  <c r="E3718" i="1"/>
  <c r="S3717" i="1"/>
  <c r="R3717" i="1"/>
  <c r="K3715" i="1"/>
  <c r="G3715" i="1"/>
  <c r="G3714" i="1"/>
  <c r="K3714" i="1" s="1"/>
  <c r="K3713" i="1"/>
  <c r="G3713" i="1"/>
  <c r="G3712" i="1"/>
  <c r="K3712" i="1" s="1"/>
  <c r="K3711" i="1"/>
  <c r="G3711" i="1"/>
  <c r="X3710" i="1"/>
  <c r="K3710" i="1"/>
  <c r="G3710" i="1"/>
  <c r="G3709" i="1"/>
  <c r="K3709" i="1" s="1"/>
  <c r="L3708" i="1"/>
  <c r="L3709" i="1" s="1"/>
  <c r="L3710" i="1" s="1"/>
  <c r="L3711" i="1" s="1"/>
  <c r="L3712" i="1" s="1"/>
  <c r="L3713" i="1" s="1"/>
  <c r="L3714" i="1" s="1"/>
  <c r="L3715" i="1" s="1"/>
  <c r="O3704" i="1" s="1"/>
  <c r="G3708" i="1"/>
  <c r="K3708" i="1" s="1"/>
  <c r="N3707" i="1"/>
  <c r="K3707" i="1"/>
  <c r="G3707" i="1"/>
  <c r="L3706" i="1"/>
  <c r="L3707" i="1" s="1"/>
  <c r="G3706" i="1"/>
  <c r="K3706" i="1" s="1"/>
  <c r="T3705" i="1"/>
  <c r="U3705" i="1" s="1"/>
  <c r="K3705" i="1"/>
  <c r="G3705" i="1"/>
  <c r="L3704" i="1"/>
  <c r="L3705" i="1" s="1"/>
  <c r="E3704" i="1"/>
  <c r="S3703" i="1"/>
  <c r="R3703" i="1"/>
  <c r="K3702" i="1"/>
  <c r="G3702" i="1"/>
  <c r="G3701" i="1"/>
  <c r="K3701" i="1" s="1"/>
  <c r="K3700" i="1"/>
  <c r="G3700" i="1"/>
  <c r="G3699" i="1"/>
  <c r="K3699" i="1" s="1"/>
  <c r="K3698" i="1"/>
  <c r="G3698" i="1"/>
  <c r="X3697" i="1"/>
  <c r="K3697" i="1"/>
  <c r="G3697" i="1"/>
  <c r="G3696" i="1"/>
  <c r="K3696" i="1" s="1"/>
  <c r="G3695" i="1"/>
  <c r="K3695" i="1" s="1"/>
  <c r="N3694" i="1"/>
  <c r="K3694" i="1"/>
  <c r="G3694" i="1"/>
  <c r="G3693" i="1"/>
  <c r="K3693" i="1" s="1"/>
  <c r="T3692" i="1"/>
  <c r="U3692" i="1" s="1"/>
  <c r="K3692" i="1"/>
  <c r="G3692" i="1"/>
  <c r="L3691" i="1"/>
  <c r="L3692" i="1" s="1"/>
  <c r="L3693" i="1" s="1"/>
  <c r="L3694" i="1" s="1"/>
  <c r="L3695" i="1" s="1"/>
  <c r="L3696" i="1" s="1"/>
  <c r="L3697" i="1" s="1"/>
  <c r="L3698" i="1" s="1"/>
  <c r="L3699" i="1" s="1"/>
  <c r="L3700" i="1" s="1"/>
  <c r="L3701" i="1" s="1"/>
  <c r="L3702" i="1" s="1"/>
  <c r="O3691" i="1" s="1"/>
  <c r="E3691" i="1"/>
  <c r="S3690" i="1"/>
  <c r="R3690" i="1"/>
  <c r="K3689" i="1"/>
  <c r="G3689" i="1"/>
  <c r="G3688" i="1"/>
  <c r="K3688" i="1" s="1"/>
  <c r="K3687" i="1"/>
  <c r="G3687" i="1"/>
  <c r="G3686" i="1"/>
  <c r="K3686" i="1" s="1"/>
  <c r="K3685" i="1"/>
  <c r="G3685" i="1"/>
  <c r="X3684" i="1"/>
  <c r="K3684" i="1"/>
  <c r="G3684" i="1"/>
  <c r="G3683" i="1"/>
  <c r="K3683" i="1" s="1"/>
  <c r="G3682" i="1"/>
  <c r="K3682" i="1" s="1"/>
  <c r="N3681" i="1"/>
  <c r="K3681" i="1"/>
  <c r="G3681" i="1"/>
  <c r="L3680" i="1"/>
  <c r="L3681" i="1" s="1"/>
  <c r="L3682" i="1" s="1"/>
  <c r="L3683" i="1" s="1"/>
  <c r="L3684" i="1" s="1"/>
  <c r="L3685" i="1" s="1"/>
  <c r="L3686" i="1" s="1"/>
  <c r="L3687" i="1" s="1"/>
  <c r="L3688" i="1" s="1"/>
  <c r="L3689" i="1" s="1"/>
  <c r="O3678" i="1" s="1"/>
  <c r="G3680" i="1"/>
  <c r="K3680" i="1" s="1"/>
  <c r="T3679" i="1"/>
  <c r="U3679" i="1" s="1"/>
  <c r="K3679" i="1"/>
  <c r="G3679" i="1"/>
  <c r="L3678" i="1"/>
  <c r="L3679" i="1" s="1"/>
  <c r="E3678" i="1"/>
  <c r="G3677" i="1"/>
  <c r="K3676" i="1"/>
  <c r="G3676" i="1"/>
  <c r="G3675" i="1"/>
  <c r="K3675" i="1" s="1"/>
  <c r="L3674" i="1"/>
  <c r="E3674" i="1"/>
  <c r="S3673" i="1"/>
  <c r="R3673" i="1"/>
  <c r="G3672" i="1"/>
  <c r="K3672" i="1" s="1"/>
  <c r="K3671" i="1"/>
  <c r="G3671" i="1"/>
  <c r="G3670" i="1"/>
  <c r="K3670" i="1" s="1"/>
  <c r="K3669" i="1"/>
  <c r="G3669" i="1"/>
  <c r="G3668" i="1"/>
  <c r="K3668" i="1" s="1"/>
  <c r="X3667" i="1"/>
  <c r="G3667" i="1"/>
  <c r="K3667" i="1" s="1"/>
  <c r="K3666" i="1"/>
  <c r="G3666" i="1"/>
  <c r="K3665" i="1"/>
  <c r="G3665" i="1"/>
  <c r="G3664" i="1"/>
  <c r="K3663" i="1"/>
  <c r="G3663" i="1"/>
  <c r="G3662" i="1"/>
  <c r="K3662" i="1" s="1"/>
  <c r="L3661" i="1"/>
  <c r="T3662" i="1" s="1"/>
  <c r="U3662" i="1" s="1"/>
  <c r="E3661" i="1"/>
  <c r="S3660" i="1"/>
  <c r="R3660" i="1"/>
  <c r="G3659" i="1"/>
  <c r="K3659" i="1" s="1"/>
  <c r="K3658" i="1"/>
  <c r="G3658" i="1"/>
  <c r="G3657" i="1"/>
  <c r="K3657" i="1" s="1"/>
  <c r="K3656" i="1"/>
  <c r="G3656" i="1"/>
  <c r="G3655" i="1"/>
  <c r="K3655" i="1" s="1"/>
  <c r="X3654" i="1"/>
  <c r="G3654" i="1"/>
  <c r="K3654" i="1" s="1"/>
  <c r="K3653" i="1"/>
  <c r="G3653" i="1"/>
  <c r="K3652" i="1"/>
  <c r="G3652" i="1"/>
  <c r="G3651" i="1"/>
  <c r="K3650" i="1"/>
  <c r="G3650" i="1"/>
  <c r="G3649" i="1"/>
  <c r="K3649" i="1" s="1"/>
  <c r="L3648" i="1"/>
  <c r="T3649" i="1" s="1"/>
  <c r="U3649" i="1" s="1"/>
  <c r="E3648" i="1"/>
  <c r="S3646" i="1"/>
  <c r="R3646" i="1"/>
  <c r="G3645" i="1"/>
  <c r="K3645" i="1" s="1"/>
  <c r="K3644" i="1"/>
  <c r="G3644" i="1"/>
  <c r="G3643" i="1"/>
  <c r="K3643" i="1" s="1"/>
  <c r="K3642" i="1"/>
  <c r="G3642" i="1"/>
  <c r="G3641" i="1"/>
  <c r="K3641" i="1" s="1"/>
  <c r="X3640" i="1"/>
  <c r="G3640" i="1"/>
  <c r="K3640" i="1" s="1"/>
  <c r="K3639" i="1"/>
  <c r="G3639" i="1"/>
  <c r="K3638" i="1"/>
  <c r="G3638" i="1"/>
  <c r="G3637" i="1"/>
  <c r="K3636" i="1"/>
  <c r="G3636" i="1"/>
  <c r="G3635" i="1"/>
  <c r="K3635" i="1" s="1"/>
  <c r="L3634" i="1"/>
  <c r="T3635" i="1" s="1"/>
  <c r="U3635" i="1" s="1"/>
  <c r="E3634" i="1"/>
  <c r="S3633" i="1"/>
  <c r="R3633" i="1"/>
  <c r="G3631" i="1"/>
  <c r="K3631" i="1" s="1"/>
  <c r="K3630" i="1"/>
  <c r="G3630" i="1"/>
  <c r="G3629" i="1"/>
  <c r="K3629" i="1" s="1"/>
  <c r="K3628" i="1"/>
  <c r="G3628" i="1"/>
  <c r="G3627" i="1"/>
  <c r="K3627" i="1" s="1"/>
  <c r="X3626" i="1"/>
  <c r="G3626" i="1"/>
  <c r="K3626" i="1" s="1"/>
  <c r="K3625" i="1"/>
  <c r="G3625" i="1"/>
  <c r="K3624" i="1"/>
  <c r="G3624" i="1"/>
  <c r="U3623" i="1"/>
  <c r="G3623" i="1"/>
  <c r="K3622" i="1"/>
  <c r="G3622" i="1"/>
  <c r="U3621" i="1"/>
  <c r="U3624" i="1" s="1"/>
  <c r="K3621" i="1"/>
  <c r="G3621" i="1"/>
  <c r="L3620" i="1"/>
  <c r="L3621" i="1" s="1"/>
  <c r="L3622" i="1" s="1"/>
  <c r="L3623" i="1" s="1"/>
  <c r="L3624" i="1" s="1"/>
  <c r="L3625" i="1" s="1"/>
  <c r="L3626" i="1" s="1"/>
  <c r="L3627" i="1" s="1"/>
  <c r="L3628" i="1" s="1"/>
  <c r="L3629" i="1" s="1"/>
  <c r="L3630" i="1" s="1"/>
  <c r="L3631" i="1" s="1"/>
  <c r="O3620" i="1" s="1"/>
  <c r="E3620" i="1"/>
  <c r="X3619" i="1"/>
  <c r="G3619" i="1"/>
  <c r="K3619" i="1" s="1"/>
  <c r="K3618" i="1"/>
  <c r="G3618" i="1"/>
  <c r="G3617" i="1"/>
  <c r="K3617" i="1" s="1"/>
  <c r="G3616" i="1"/>
  <c r="K3615" i="1"/>
  <c r="G3615" i="1"/>
  <c r="G3614" i="1"/>
  <c r="K3614" i="1" s="1"/>
  <c r="K3613" i="1"/>
  <c r="G3613" i="1"/>
  <c r="L3612" i="1"/>
  <c r="L3613" i="1" s="1"/>
  <c r="L3614" i="1" s="1"/>
  <c r="L3615" i="1" s="1"/>
  <c r="L3616" i="1" s="1"/>
  <c r="L3617" i="1" s="1"/>
  <c r="L3618" i="1" s="1"/>
  <c r="L3619" i="1" s="1"/>
  <c r="O3612" i="1" s="1"/>
  <c r="E3612" i="1"/>
  <c r="S3611" i="1"/>
  <c r="R3611" i="1"/>
  <c r="K3610" i="1"/>
  <c r="G3610" i="1"/>
  <c r="G3609" i="1"/>
  <c r="K3609" i="1" s="1"/>
  <c r="K3608" i="1"/>
  <c r="G3608" i="1"/>
  <c r="G3607" i="1"/>
  <c r="K3607" i="1" s="1"/>
  <c r="K3606" i="1"/>
  <c r="G3606" i="1"/>
  <c r="X3605" i="1"/>
  <c r="K3605" i="1"/>
  <c r="G3605" i="1"/>
  <c r="G3604" i="1"/>
  <c r="K3604" i="1" s="1"/>
  <c r="K3603" i="1"/>
  <c r="G3603" i="1"/>
  <c r="K3602" i="1"/>
  <c r="G3602" i="1"/>
  <c r="N3602" i="1" s="1"/>
  <c r="K3601" i="1"/>
  <c r="G3601" i="1"/>
  <c r="G3600" i="1"/>
  <c r="K3600" i="1" s="1"/>
  <c r="G3599" i="1"/>
  <c r="K3599" i="1" s="1"/>
  <c r="L3598" i="1"/>
  <c r="T3599" i="1" s="1"/>
  <c r="U3599" i="1" s="1"/>
  <c r="E3598" i="1"/>
  <c r="S3597" i="1"/>
  <c r="R3597" i="1"/>
  <c r="K3596" i="1"/>
  <c r="G3596" i="1"/>
  <c r="G3595" i="1"/>
  <c r="K3595" i="1" s="1"/>
  <c r="G3594" i="1"/>
  <c r="K3594" i="1" s="1"/>
  <c r="K3593" i="1"/>
  <c r="G3593" i="1"/>
  <c r="G3592" i="1"/>
  <c r="K3592" i="1" s="1"/>
  <c r="X3591" i="1"/>
  <c r="G3591" i="1"/>
  <c r="K3591" i="1" s="1"/>
  <c r="K3590" i="1"/>
  <c r="G3590" i="1"/>
  <c r="K3589" i="1"/>
  <c r="G3589" i="1"/>
  <c r="K3588" i="1"/>
  <c r="G3588" i="1"/>
  <c r="N3588" i="1" s="1"/>
  <c r="G3587" i="1"/>
  <c r="K3587" i="1" s="1"/>
  <c r="G3586" i="1"/>
  <c r="K3586" i="1" s="1"/>
  <c r="L3585" i="1"/>
  <c r="T3586" i="1" s="1"/>
  <c r="U3586" i="1" s="1"/>
  <c r="E3585" i="1"/>
  <c r="S3583" i="1"/>
  <c r="R3583" i="1"/>
  <c r="K3582" i="1"/>
  <c r="G3582" i="1"/>
  <c r="G3581" i="1"/>
  <c r="K3581" i="1" s="1"/>
  <c r="G3580" i="1"/>
  <c r="K3580" i="1" s="1"/>
  <c r="K3579" i="1"/>
  <c r="G3579" i="1"/>
  <c r="G3578" i="1"/>
  <c r="K3578" i="1" s="1"/>
  <c r="X3577" i="1"/>
  <c r="G3577" i="1"/>
  <c r="K3577" i="1" s="1"/>
  <c r="K3576" i="1"/>
  <c r="G3576" i="1"/>
  <c r="K3575" i="1"/>
  <c r="G3575" i="1"/>
  <c r="K3574" i="1"/>
  <c r="G3574" i="1"/>
  <c r="N3574" i="1" s="1"/>
  <c r="G3573" i="1"/>
  <c r="K3573" i="1" s="1"/>
  <c r="G3572" i="1"/>
  <c r="K3572" i="1" s="1"/>
  <c r="L3571" i="1"/>
  <c r="T3572" i="1" s="1"/>
  <c r="U3572" i="1" s="1"/>
  <c r="E3571" i="1"/>
  <c r="S3570" i="1"/>
  <c r="R3570" i="1"/>
  <c r="K3569" i="1"/>
  <c r="G3569" i="1"/>
  <c r="G3568" i="1"/>
  <c r="K3568" i="1" s="1"/>
  <c r="G3567" i="1"/>
  <c r="K3567" i="1" s="1"/>
  <c r="K3566" i="1"/>
  <c r="G3566" i="1"/>
  <c r="G3565" i="1"/>
  <c r="K3565" i="1" s="1"/>
  <c r="X3564" i="1"/>
  <c r="G3564" i="1"/>
  <c r="K3564" i="1" s="1"/>
  <c r="K3563" i="1"/>
  <c r="G3563" i="1"/>
  <c r="K3562" i="1"/>
  <c r="G3562" i="1"/>
  <c r="K3561" i="1"/>
  <c r="G3561" i="1"/>
  <c r="N3561" i="1" s="1"/>
  <c r="G3560" i="1"/>
  <c r="K3560" i="1" s="1"/>
  <c r="G3559" i="1"/>
  <c r="K3559" i="1" s="1"/>
  <c r="L3558" i="1"/>
  <c r="T3559" i="1" s="1"/>
  <c r="U3559" i="1" s="1"/>
  <c r="E3558" i="1"/>
  <c r="S3556" i="1"/>
  <c r="R3556" i="1"/>
  <c r="K3556" i="1"/>
  <c r="G3556" i="1"/>
  <c r="G3555" i="1"/>
  <c r="K3555" i="1" s="1"/>
  <c r="G3554" i="1"/>
  <c r="K3554" i="1" s="1"/>
  <c r="K3553" i="1"/>
  <c r="G3553" i="1"/>
  <c r="G3552" i="1"/>
  <c r="K3552" i="1" s="1"/>
  <c r="K3551" i="1"/>
  <c r="G3551" i="1"/>
  <c r="X3550" i="1"/>
  <c r="K3550" i="1"/>
  <c r="G3550" i="1"/>
  <c r="G3549" i="1"/>
  <c r="K3549" i="1" s="1"/>
  <c r="U3548" i="1"/>
  <c r="G3548" i="1"/>
  <c r="K3548" i="1" s="1"/>
  <c r="U3547" i="1"/>
  <c r="N3547" i="1"/>
  <c r="K3547" i="1"/>
  <c r="G3547" i="1"/>
  <c r="G3546" i="1"/>
  <c r="K3546" i="1" s="1"/>
  <c r="U3545" i="1"/>
  <c r="T3545" i="1"/>
  <c r="G3545" i="1"/>
  <c r="K3545" i="1" s="1"/>
  <c r="L3544" i="1"/>
  <c r="E3544" i="1"/>
  <c r="S3543" i="1"/>
  <c r="R3543" i="1"/>
  <c r="G3542" i="1"/>
  <c r="K3542" i="1" s="1"/>
  <c r="G3541" i="1"/>
  <c r="K3541" i="1" s="1"/>
  <c r="K3540" i="1"/>
  <c r="G3540" i="1"/>
  <c r="G3539" i="1"/>
  <c r="K3539" i="1" s="1"/>
  <c r="K3538" i="1"/>
  <c r="G3538" i="1"/>
  <c r="X3537" i="1"/>
  <c r="G3537" i="1"/>
  <c r="K3537" i="1" s="1"/>
  <c r="G3536" i="1"/>
  <c r="K3536" i="1" s="1"/>
  <c r="G3535" i="1"/>
  <c r="K3535" i="1" s="1"/>
  <c r="N3534" i="1"/>
  <c r="K3534" i="1"/>
  <c r="G3534" i="1"/>
  <c r="G3533" i="1"/>
  <c r="K3533" i="1" s="1"/>
  <c r="U3532" i="1"/>
  <c r="U3534" i="1" s="1"/>
  <c r="T3532" i="1"/>
  <c r="G3532" i="1"/>
  <c r="K3532" i="1" s="1"/>
  <c r="L3531" i="1"/>
  <c r="E3531" i="1"/>
  <c r="S3530" i="1"/>
  <c r="R3530" i="1"/>
  <c r="K3529" i="1"/>
  <c r="G3529" i="1"/>
  <c r="G3528" i="1"/>
  <c r="K3528" i="1" s="1"/>
  <c r="K3527" i="1"/>
  <c r="G3527" i="1"/>
  <c r="K3526" i="1"/>
  <c r="G3526" i="1"/>
  <c r="G3525" i="1"/>
  <c r="K3525" i="1" s="1"/>
  <c r="X3524" i="1"/>
  <c r="G3524" i="1"/>
  <c r="K3524" i="1" s="1"/>
  <c r="G3523" i="1"/>
  <c r="K3523" i="1" s="1"/>
  <c r="G3522" i="1"/>
  <c r="K3522" i="1" s="1"/>
  <c r="G3521" i="1"/>
  <c r="N3521" i="1" s="1"/>
  <c r="G3520" i="1"/>
  <c r="K3520" i="1" s="1"/>
  <c r="T3518" i="1"/>
  <c r="U3518" i="1" s="1"/>
  <c r="K3518" i="1"/>
  <c r="G3518" i="1"/>
  <c r="L3517" i="1"/>
  <c r="L3518" i="1" s="1"/>
  <c r="L3520" i="1" s="1"/>
  <c r="L3521" i="1" s="1"/>
  <c r="L3522" i="1" s="1"/>
  <c r="L3523" i="1" s="1"/>
  <c r="L3524" i="1" s="1"/>
  <c r="L3525" i="1" s="1"/>
  <c r="L3526" i="1" s="1"/>
  <c r="L3527" i="1" s="1"/>
  <c r="L3528" i="1" s="1"/>
  <c r="L3529" i="1" s="1"/>
  <c r="O3517" i="1" s="1"/>
  <c r="E3517" i="1"/>
  <c r="S3515" i="1"/>
  <c r="R3515" i="1"/>
  <c r="K3513" i="1"/>
  <c r="G3513" i="1"/>
  <c r="G3512" i="1"/>
  <c r="K3512" i="1" s="1"/>
  <c r="K3511" i="1"/>
  <c r="G3511" i="1"/>
  <c r="K3510" i="1"/>
  <c r="G3510" i="1"/>
  <c r="G3509" i="1"/>
  <c r="K3509" i="1" s="1"/>
  <c r="X3508" i="1"/>
  <c r="K3508" i="1"/>
  <c r="G3508" i="1"/>
  <c r="G3507" i="1"/>
  <c r="K3507" i="1" s="1"/>
  <c r="G3506" i="1"/>
  <c r="K3506" i="1" s="1"/>
  <c r="G3505" i="1"/>
  <c r="N3505" i="1" s="1"/>
  <c r="V3504" i="1"/>
  <c r="V3505" i="1" s="1"/>
  <c r="K3504" i="1"/>
  <c r="G3504" i="1"/>
  <c r="V3503" i="1"/>
  <c r="K3503" i="1"/>
  <c r="G3503" i="1"/>
  <c r="L3502" i="1"/>
  <c r="L3503" i="1" s="1"/>
  <c r="L3504" i="1" s="1"/>
  <c r="L3505" i="1" s="1"/>
  <c r="L3506" i="1" s="1"/>
  <c r="L3507" i="1" s="1"/>
  <c r="L3508" i="1" s="1"/>
  <c r="L3509" i="1" s="1"/>
  <c r="L3510" i="1" s="1"/>
  <c r="L3511" i="1" s="1"/>
  <c r="L3512" i="1" s="1"/>
  <c r="L3513" i="1" s="1"/>
  <c r="O3502" i="1" s="1"/>
  <c r="E3502" i="1"/>
  <c r="S3500" i="1"/>
  <c r="R3500" i="1"/>
  <c r="G3499" i="1"/>
  <c r="K3499" i="1" s="1"/>
  <c r="G3498" i="1"/>
  <c r="K3498" i="1" s="1"/>
  <c r="K3497" i="1"/>
  <c r="G3497" i="1"/>
  <c r="G3496" i="1"/>
  <c r="K3496" i="1" s="1"/>
  <c r="K3495" i="1"/>
  <c r="G3495" i="1"/>
  <c r="X3494" i="1"/>
  <c r="K3494" i="1"/>
  <c r="G3494" i="1"/>
  <c r="G3493" i="1"/>
  <c r="K3493" i="1" s="1"/>
  <c r="U3492" i="1"/>
  <c r="G3492" i="1"/>
  <c r="K3492" i="1" s="1"/>
  <c r="U3491" i="1"/>
  <c r="N3491" i="1"/>
  <c r="K3491" i="1"/>
  <c r="G3491" i="1"/>
  <c r="G3490" i="1"/>
  <c r="K3490" i="1" s="1"/>
  <c r="U3489" i="1"/>
  <c r="T3489" i="1"/>
  <c r="G3489" i="1"/>
  <c r="K3489" i="1" s="1"/>
  <c r="L3488" i="1"/>
  <c r="E3488" i="1"/>
  <c r="S3487" i="1"/>
  <c r="R3487" i="1"/>
  <c r="G3485" i="1"/>
  <c r="K3485" i="1" s="1"/>
  <c r="G3484" i="1"/>
  <c r="K3484" i="1" s="1"/>
  <c r="K3483" i="1"/>
  <c r="G3483" i="1"/>
  <c r="G3482" i="1"/>
  <c r="K3482" i="1" s="1"/>
  <c r="K3481" i="1"/>
  <c r="G3481" i="1"/>
  <c r="X3480" i="1"/>
  <c r="G3480" i="1"/>
  <c r="K3480" i="1" s="1"/>
  <c r="G3479" i="1"/>
  <c r="K3479" i="1" s="1"/>
  <c r="G3478" i="1"/>
  <c r="K3478" i="1" s="1"/>
  <c r="N3477" i="1"/>
  <c r="K3477" i="1"/>
  <c r="G3477" i="1"/>
  <c r="G3476" i="1"/>
  <c r="K3476" i="1" s="1"/>
  <c r="U3475" i="1"/>
  <c r="U3477" i="1" s="1"/>
  <c r="T3475" i="1"/>
  <c r="G3475" i="1"/>
  <c r="K3475" i="1" s="1"/>
  <c r="L3474" i="1"/>
  <c r="E3474" i="1"/>
  <c r="S3473" i="1"/>
  <c r="R3473" i="1"/>
  <c r="K3472" i="1"/>
  <c r="G3472" i="1"/>
  <c r="G3471" i="1"/>
  <c r="K3471" i="1" s="1"/>
  <c r="K3470" i="1"/>
  <c r="G3470" i="1"/>
  <c r="K3469" i="1"/>
  <c r="G3469" i="1"/>
  <c r="K3468" i="1"/>
  <c r="G3468" i="1"/>
  <c r="X3467" i="1"/>
  <c r="K3467" i="1"/>
  <c r="G3467" i="1"/>
  <c r="K3466" i="1"/>
  <c r="G3466" i="1"/>
  <c r="K3465" i="1"/>
  <c r="G3465" i="1"/>
  <c r="N3464" i="1"/>
  <c r="K3464" i="1"/>
  <c r="G3464" i="1"/>
  <c r="G3463" i="1"/>
  <c r="K3463" i="1" s="1"/>
  <c r="T3462" i="1"/>
  <c r="U3462" i="1" s="1"/>
  <c r="K3462" i="1"/>
  <c r="G3462" i="1"/>
  <c r="L3461" i="1"/>
  <c r="L3462" i="1" s="1"/>
  <c r="L3463" i="1" s="1"/>
  <c r="L3464" i="1" s="1"/>
  <c r="L3465" i="1" s="1"/>
  <c r="L3466" i="1" s="1"/>
  <c r="L3467" i="1" s="1"/>
  <c r="L3468" i="1" s="1"/>
  <c r="L3469" i="1" s="1"/>
  <c r="L3470" i="1" s="1"/>
  <c r="L3471" i="1" s="1"/>
  <c r="L3472" i="1" s="1"/>
  <c r="O3461" i="1" s="1"/>
  <c r="E3461" i="1"/>
  <c r="S3459" i="1"/>
  <c r="R3459" i="1"/>
  <c r="K3458" i="1"/>
  <c r="G3458" i="1"/>
  <c r="G3457" i="1"/>
  <c r="K3457" i="1" s="1"/>
  <c r="K3456" i="1"/>
  <c r="G3456" i="1"/>
  <c r="G3455" i="1"/>
  <c r="K3455" i="1" s="1"/>
  <c r="K3454" i="1"/>
  <c r="G3454" i="1"/>
  <c r="X3453" i="1"/>
  <c r="K3453" i="1"/>
  <c r="G3453" i="1"/>
  <c r="K3452" i="1"/>
  <c r="G3452" i="1"/>
  <c r="G3451" i="1"/>
  <c r="K3451" i="1" s="1"/>
  <c r="N3450" i="1"/>
  <c r="K3450" i="1"/>
  <c r="G3450" i="1"/>
  <c r="G3449" i="1"/>
  <c r="K3449" i="1" s="1"/>
  <c r="T3448" i="1"/>
  <c r="U3448" i="1" s="1"/>
  <c r="K3448" i="1"/>
  <c r="G3448" i="1"/>
  <c r="L3447" i="1"/>
  <c r="L3448" i="1" s="1"/>
  <c r="E3447" i="1"/>
  <c r="G3445" i="1"/>
  <c r="K3445" i="1" s="1"/>
  <c r="G3444" i="1"/>
  <c r="N3443" i="1"/>
  <c r="K3443" i="1"/>
  <c r="G3443" i="1"/>
  <c r="G3442" i="1"/>
  <c r="K3442" i="1" s="1"/>
  <c r="K3441" i="1"/>
  <c r="G3441" i="1"/>
  <c r="O3440" i="1"/>
  <c r="L3440" i="1"/>
  <c r="L3441" i="1" s="1"/>
  <c r="L3442" i="1" s="1"/>
  <c r="L3443" i="1" s="1"/>
  <c r="L3444" i="1" s="1"/>
  <c r="L3445" i="1" s="1"/>
  <c r="E3440" i="1"/>
  <c r="K3438" i="1"/>
  <c r="G3438" i="1"/>
  <c r="K3437" i="1"/>
  <c r="G3437" i="1"/>
  <c r="G3436" i="1"/>
  <c r="K3436" i="1" s="1"/>
  <c r="G3435" i="1"/>
  <c r="K3435" i="1" s="1"/>
  <c r="K3434" i="1"/>
  <c r="G3434" i="1"/>
  <c r="G3433" i="1"/>
  <c r="K3433" i="1" s="1"/>
  <c r="K3432" i="1"/>
  <c r="G3432" i="1"/>
  <c r="S3430" i="1"/>
  <c r="S3439" i="1" s="1"/>
  <c r="R3430" i="1"/>
  <c r="R3439" i="1" s="1"/>
  <c r="K3430" i="1"/>
  <c r="G3430" i="1"/>
  <c r="G3429" i="1"/>
  <c r="K3428" i="1"/>
  <c r="G3428" i="1"/>
  <c r="G3427" i="1"/>
  <c r="K3427" i="1" s="1"/>
  <c r="L3426" i="1"/>
  <c r="L3427" i="1" s="1"/>
  <c r="L3428" i="1" s="1"/>
  <c r="L3429" i="1" s="1"/>
  <c r="L3430" i="1" s="1"/>
  <c r="L3432" i="1" s="1"/>
  <c r="L3433" i="1" s="1"/>
  <c r="L3434" i="1" s="1"/>
  <c r="L3435" i="1" s="1"/>
  <c r="L3436" i="1" s="1"/>
  <c r="L3437" i="1" s="1"/>
  <c r="L3438" i="1" s="1"/>
  <c r="O3426" i="1" s="1"/>
  <c r="E3426" i="1"/>
  <c r="X3424" i="1"/>
  <c r="K3424" i="1"/>
  <c r="G3424" i="1"/>
  <c r="X3423" i="1"/>
  <c r="K3423" i="1"/>
  <c r="G3423" i="1"/>
  <c r="K3422" i="1"/>
  <c r="G3422" i="1"/>
  <c r="K3421" i="1"/>
  <c r="G3421" i="1"/>
  <c r="N3421" i="1" s="1"/>
  <c r="G3420" i="1"/>
  <c r="K3420" i="1" s="1"/>
  <c r="K3419" i="1"/>
  <c r="G3419" i="1"/>
  <c r="L3418" i="1"/>
  <c r="L3419" i="1" s="1"/>
  <c r="L3420" i="1" s="1"/>
  <c r="L3421" i="1" s="1"/>
  <c r="L3422" i="1" s="1"/>
  <c r="L3423" i="1" s="1"/>
  <c r="L3424" i="1" s="1"/>
  <c r="O3417" i="1" s="1"/>
  <c r="K3418" i="1"/>
  <c r="G3418" i="1"/>
  <c r="L3417" i="1"/>
  <c r="E3417" i="1"/>
  <c r="S3416" i="1"/>
  <c r="R3416" i="1"/>
  <c r="K3415" i="1"/>
  <c r="G3415" i="1"/>
  <c r="K3414" i="1"/>
  <c r="G3414" i="1"/>
  <c r="G3413" i="1"/>
  <c r="K3413" i="1" s="1"/>
  <c r="K3412" i="1"/>
  <c r="G3412" i="1"/>
  <c r="K3411" i="1"/>
  <c r="G3411" i="1"/>
  <c r="X3410" i="1"/>
  <c r="K3410" i="1"/>
  <c r="G3410" i="1"/>
  <c r="G3409" i="1"/>
  <c r="K3409" i="1" s="1"/>
  <c r="G3408" i="1"/>
  <c r="K3408" i="1" s="1"/>
  <c r="K3407" i="1"/>
  <c r="G3407" i="1"/>
  <c r="N3407" i="1" s="1"/>
  <c r="K3406" i="1"/>
  <c r="G3406" i="1"/>
  <c r="L3405" i="1"/>
  <c r="L3406" i="1" s="1"/>
  <c r="L3407" i="1" s="1"/>
  <c r="L3408" i="1" s="1"/>
  <c r="K3405" i="1"/>
  <c r="G3405" i="1"/>
  <c r="L3404" i="1"/>
  <c r="T3405" i="1" s="1"/>
  <c r="U3405" i="1" s="1"/>
  <c r="E3404" i="1"/>
  <c r="S3403" i="1"/>
  <c r="R3403" i="1"/>
  <c r="K3401" i="1"/>
  <c r="G3401" i="1"/>
  <c r="K3400" i="1"/>
  <c r="G3400" i="1"/>
  <c r="G3399" i="1"/>
  <c r="K3399" i="1" s="1"/>
  <c r="K3398" i="1"/>
  <c r="G3398" i="1"/>
  <c r="K3397" i="1"/>
  <c r="G3397" i="1"/>
  <c r="X3396" i="1"/>
  <c r="K3396" i="1"/>
  <c r="G3396" i="1"/>
  <c r="G3395" i="1"/>
  <c r="K3395" i="1" s="1"/>
  <c r="G3394" i="1"/>
  <c r="K3394" i="1" s="1"/>
  <c r="K3393" i="1"/>
  <c r="G3393" i="1"/>
  <c r="N3393" i="1" s="1"/>
  <c r="K3392" i="1"/>
  <c r="G3392" i="1"/>
  <c r="L3391" i="1"/>
  <c r="L3392" i="1" s="1"/>
  <c r="L3393" i="1" s="1"/>
  <c r="L3394" i="1" s="1"/>
  <c r="K3391" i="1"/>
  <c r="G3391" i="1"/>
  <c r="L3390" i="1"/>
  <c r="T3391" i="1" s="1"/>
  <c r="U3391" i="1" s="1"/>
  <c r="E3390" i="1"/>
  <c r="S3389" i="1"/>
  <c r="R3389" i="1"/>
  <c r="K3388" i="1"/>
  <c r="G3388" i="1"/>
  <c r="K3387" i="1"/>
  <c r="G3387" i="1"/>
  <c r="G3386" i="1"/>
  <c r="K3386" i="1" s="1"/>
  <c r="K3385" i="1"/>
  <c r="G3385" i="1"/>
  <c r="K3384" i="1"/>
  <c r="G3384" i="1"/>
  <c r="X3383" i="1"/>
  <c r="L3383" i="1"/>
  <c r="L3384" i="1" s="1"/>
  <c r="L3385" i="1" s="1"/>
  <c r="L3386" i="1" s="1"/>
  <c r="L3387" i="1" s="1"/>
  <c r="L3388" i="1" s="1"/>
  <c r="O3377" i="1" s="1"/>
  <c r="K3383" i="1"/>
  <c r="G3383" i="1"/>
  <c r="G3382" i="1"/>
  <c r="K3382" i="1" s="1"/>
  <c r="G3381" i="1"/>
  <c r="K3381" i="1" s="1"/>
  <c r="K3380" i="1"/>
  <c r="G3380" i="1"/>
  <c r="N3380" i="1" s="1"/>
  <c r="K3379" i="1"/>
  <c r="G3379" i="1"/>
  <c r="U3378" i="1"/>
  <c r="U3381" i="1" s="1"/>
  <c r="T3378" i="1"/>
  <c r="L3378" i="1"/>
  <c r="L3379" i="1" s="1"/>
  <c r="L3380" i="1" s="1"/>
  <c r="L3381" i="1" s="1"/>
  <c r="L3382" i="1" s="1"/>
  <c r="K3378" i="1"/>
  <c r="G3378" i="1"/>
  <c r="L3377" i="1"/>
  <c r="E3377" i="1"/>
  <c r="S3376" i="1"/>
  <c r="R3376" i="1"/>
  <c r="K3375" i="1"/>
  <c r="G3375" i="1"/>
  <c r="K3374" i="1"/>
  <c r="G3374" i="1"/>
  <c r="G3373" i="1"/>
  <c r="K3373" i="1" s="1"/>
  <c r="K3372" i="1"/>
  <c r="G3372" i="1"/>
  <c r="K3371" i="1"/>
  <c r="G3371" i="1"/>
  <c r="X3370" i="1"/>
  <c r="K3370" i="1"/>
  <c r="G3370" i="1"/>
  <c r="G3369" i="1"/>
  <c r="K3369" i="1" s="1"/>
  <c r="G3368" i="1"/>
  <c r="K3368" i="1" s="1"/>
  <c r="K3367" i="1"/>
  <c r="G3367" i="1"/>
  <c r="N3367" i="1" s="1"/>
  <c r="K3366" i="1"/>
  <c r="G3366" i="1"/>
  <c r="L3365" i="1"/>
  <c r="L3366" i="1" s="1"/>
  <c r="L3367" i="1" s="1"/>
  <c r="L3368" i="1" s="1"/>
  <c r="L3369" i="1" s="1"/>
  <c r="L3370" i="1" s="1"/>
  <c r="L3371" i="1" s="1"/>
  <c r="L3372" i="1" s="1"/>
  <c r="L3373" i="1" s="1"/>
  <c r="L3374" i="1" s="1"/>
  <c r="L3375" i="1" s="1"/>
  <c r="O3364" i="1" s="1"/>
  <c r="K3365" i="1"/>
  <c r="G3365" i="1"/>
  <c r="L3364" i="1"/>
  <c r="T3365" i="1" s="1"/>
  <c r="U3365" i="1" s="1"/>
  <c r="E3364" i="1"/>
  <c r="S3363" i="1"/>
  <c r="R3363" i="1"/>
  <c r="K3361" i="1"/>
  <c r="G3361" i="1"/>
  <c r="K3360" i="1"/>
  <c r="G3360" i="1"/>
  <c r="G3359" i="1"/>
  <c r="K3359" i="1" s="1"/>
  <c r="K3358" i="1"/>
  <c r="G3358" i="1"/>
  <c r="K3357" i="1"/>
  <c r="G3357" i="1"/>
  <c r="X3356" i="1"/>
  <c r="K3356" i="1"/>
  <c r="G3356" i="1"/>
  <c r="G3355" i="1"/>
  <c r="K3355" i="1" s="1"/>
  <c r="G3354" i="1"/>
  <c r="K3354" i="1" s="1"/>
  <c r="K3353" i="1"/>
  <c r="G3353" i="1"/>
  <c r="N3353" i="1" s="1"/>
  <c r="K3352" i="1"/>
  <c r="G3352" i="1"/>
  <c r="L3351" i="1"/>
  <c r="L3352" i="1" s="1"/>
  <c r="L3353" i="1" s="1"/>
  <c r="K3351" i="1"/>
  <c r="G3351" i="1"/>
  <c r="L3350" i="1"/>
  <c r="T3351" i="1" s="1"/>
  <c r="U3351" i="1" s="1"/>
  <c r="E3350" i="1"/>
  <c r="S3349" i="1"/>
  <c r="R3349" i="1"/>
  <c r="K3347" i="1"/>
  <c r="G3347" i="1"/>
  <c r="K3346" i="1"/>
  <c r="G3346" i="1"/>
  <c r="G3345" i="1"/>
  <c r="K3345" i="1" s="1"/>
  <c r="K3344" i="1"/>
  <c r="G3344" i="1"/>
  <c r="K3343" i="1"/>
  <c r="G3343" i="1"/>
  <c r="X3342" i="1"/>
  <c r="K3342" i="1"/>
  <c r="G3342" i="1"/>
  <c r="G3341" i="1"/>
  <c r="K3341" i="1" s="1"/>
  <c r="G3340" i="1"/>
  <c r="K3340" i="1" s="1"/>
  <c r="K3339" i="1"/>
  <c r="G3339" i="1"/>
  <c r="N3339" i="1" s="1"/>
  <c r="K3338" i="1"/>
  <c r="G3338" i="1"/>
  <c r="L3337" i="1"/>
  <c r="L3338" i="1" s="1"/>
  <c r="L3339" i="1" s="1"/>
  <c r="L3340" i="1" s="1"/>
  <c r="L3341" i="1" s="1"/>
  <c r="L3342" i="1" s="1"/>
  <c r="L3343" i="1" s="1"/>
  <c r="L3344" i="1" s="1"/>
  <c r="L3345" i="1" s="1"/>
  <c r="L3346" i="1" s="1"/>
  <c r="L3347" i="1" s="1"/>
  <c r="O3336" i="1" s="1"/>
  <c r="K3337" i="1"/>
  <c r="G3337" i="1"/>
  <c r="L3336" i="1"/>
  <c r="T3337" i="1" s="1"/>
  <c r="U3337" i="1" s="1"/>
  <c r="E3336" i="1"/>
  <c r="S3335" i="1"/>
  <c r="R3335" i="1"/>
  <c r="K3334" i="1"/>
  <c r="K3333" i="1"/>
  <c r="K3332" i="1"/>
  <c r="K3331" i="1"/>
  <c r="K3330" i="1"/>
  <c r="X3329" i="1"/>
  <c r="K3329" i="1"/>
  <c r="K3328" i="1"/>
  <c r="K3327" i="1"/>
  <c r="N3326" i="1"/>
  <c r="G3326" i="1"/>
  <c r="K3326" i="1" s="1"/>
  <c r="K3325" i="1"/>
  <c r="G3325" i="1"/>
  <c r="G3324" i="1"/>
  <c r="K3324" i="1" s="1"/>
  <c r="L3322" i="1"/>
  <c r="L3324" i="1" s="1"/>
  <c r="L3325" i="1" s="1"/>
  <c r="L3326" i="1" s="1"/>
  <c r="L3327" i="1" s="1"/>
  <c r="L3328" i="1" s="1"/>
  <c r="L3329" i="1" s="1"/>
  <c r="L3330" i="1" s="1"/>
  <c r="L3331" i="1" s="1"/>
  <c r="L3332" i="1" s="1"/>
  <c r="L3333" i="1" s="1"/>
  <c r="L3334" i="1" s="1"/>
  <c r="O3322" i="1" s="1"/>
  <c r="E3322" i="1"/>
  <c r="S3321" i="1"/>
  <c r="R3321" i="1"/>
  <c r="G3320" i="1"/>
  <c r="K3320" i="1" s="1"/>
  <c r="K3319" i="1"/>
  <c r="G3319" i="1"/>
  <c r="K3318" i="1"/>
  <c r="G3318" i="1"/>
  <c r="K3317" i="1"/>
  <c r="G3317" i="1"/>
  <c r="G3316" i="1"/>
  <c r="K3316" i="1" s="1"/>
  <c r="X3315" i="1"/>
  <c r="G3315" i="1"/>
  <c r="K3315" i="1" s="1"/>
  <c r="K3314" i="1"/>
  <c r="G3314" i="1"/>
  <c r="K3313" i="1"/>
  <c r="G3313" i="1"/>
  <c r="G3312" i="1"/>
  <c r="K3312" i="1" s="1"/>
  <c r="K3311" i="1"/>
  <c r="G3311" i="1"/>
  <c r="G3310" i="1"/>
  <c r="K3310" i="1" s="1"/>
  <c r="L3309" i="1"/>
  <c r="T3310" i="1" s="1"/>
  <c r="U3310" i="1" s="1"/>
  <c r="E3309" i="1"/>
  <c r="S3308" i="1"/>
  <c r="R3308" i="1"/>
  <c r="G3307" i="1"/>
  <c r="K3307" i="1" s="1"/>
  <c r="K3306" i="1"/>
  <c r="G3306" i="1"/>
  <c r="K3305" i="1"/>
  <c r="G3305" i="1"/>
  <c r="K3304" i="1"/>
  <c r="G3304" i="1"/>
  <c r="G3303" i="1"/>
  <c r="K3303" i="1" s="1"/>
  <c r="X3302" i="1"/>
  <c r="G3302" i="1"/>
  <c r="K3302" i="1" s="1"/>
  <c r="K3301" i="1"/>
  <c r="G3301" i="1"/>
  <c r="K3300" i="1"/>
  <c r="G3300" i="1"/>
  <c r="N3299" i="1"/>
  <c r="G3299" i="1"/>
  <c r="K3299" i="1" s="1"/>
  <c r="L3298" i="1"/>
  <c r="L3299" i="1" s="1"/>
  <c r="L3300" i="1" s="1"/>
  <c r="L3301" i="1" s="1"/>
  <c r="L3302" i="1" s="1"/>
  <c r="L3303" i="1" s="1"/>
  <c r="L3304" i="1" s="1"/>
  <c r="L3305" i="1" s="1"/>
  <c r="L3306" i="1" s="1"/>
  <c r="L3307" i="1" s="1"/>
  <c r="O3296" i="1" s="1"/>
  <c r="K3298" i="1"/>
  <c r="G3298" i="1"/>
  <c r="G3297" i="1"/>
  <c r="K3297" i="1" s="1"/>
  <c r="L3296" i="1"/>
  <c r="L3297" i="1" s="1"/>
  <c r="E3296" i="1"/>
  <c r="S3294" i="1"/>
  <c r="R3294" i="1"/>
  <c r="G3293" i="1"/>
  <c r="K3293" i="1" s="1"/>
  <c r="K3292" i="1"/>
  <c r="G3292" i="1"/>
  <c r="G3291" i="1"/>
  <c r="K3291" i="1" s="1"/>
  <c r="K3290" i="1"/>
  <c r="G3290" i="1"/>
  <c r="G3289" i="1"/>
  <c r="K3289" i="1" s="1"/>
  <c r="X3288" i="1"/>
  <c r="G3288" i="1"/>
  <c r="K3288" i="1" s="1"/>
  <c r="K3287" i="1"/>
  <c r="G3287" i="1"/>
  <c r="K3286" i="1"/>
  <c r="G3286" i="1"/>
  <c r="G3285" i="1"/>
  <c r="K3285" i="1" s="1"/>
  <c r="K3284" i="1"/>
  <c r="G3284" i="1"/>
  <c r="L3283" i="1"/>
  <c r="L3284" i="1" s="1"/>
  <c r="L3285" i="1" s="1"/>
  <c r="L3286" i="1" s="1"/>
  <c r="L3287" i="1" s="1"/>
  <c r="L3288" i="1" s="1"/>
  <c r="L3289" i="1" s="1"/>
  <c r="L3290" i="1" s="1"/>
  <c r="L3291" i="1" s="1"/>
  <c r="L3292" i="1" s="1"/>
  <c r="L3293" i="1" s="1"/>
  <c r="O3282" i="1" s="1"/>
  <c r="G3283" i="1"/>
  <c r="K3283" i="1" s="1"/>
  <c r="L3282" i="1"/>
  <c r="T3283" i="1" s="1"/>
  <c r="U3283" i="1" s="1"/>
  <c r="E3282" i="1"/>
  <c r="G3281" i="1"/>
  <c r="K3281" i="1" s="1"/>
  <c r="X3280" i="1"/>
  <c r="G3280" i="1"/>
  <c r="K3280" i="1" s="1"/>
  <c r="K3279" i="1"/>
  <c r="G3279" i="1"/>
  <c r="G3278" i="1"/>
  <c r="K3278" i="1" s="1"/>
  <c r="G3277" i="1"/>
  <c r="K3277" i="1" s="1"/>
  <c r="K3276" i="1"/>
  <c r="G3276" i="1"/>
  <c r="G3275" i="1"/>
  <c r="K3275" i="1" s="1"/>
  <c r="G3274" i="1"/>
  <c r="L3273" i="1"/>
  <c r="E3273" i="1"/>
  <c r="S3272" i="1"/>
  <c r="R3272" i="1"/>
  <c r="K3270" i="1"/>
  <c r="G3270" i="1"/>
  <c r="G3269" i="1"/>
  <c r="K3269" i="1" s="1"/>
  <c r="K3268" i="1"/>
  <c r="G3268" i="1"/>
  <c r="G3267" i="1"/>
  <c r="K3267" i="1" s="1"/>
  <c r="K3266" i="1"/>
  <c r="G3266" i="1"/>
  <c r="X3265" i="1"/>
  <c r="K3265" i="1"/>
  <c r="G3265" i="1"/>
  <c r="G3264" i="1"/>
  <c r="K3264" i="1" s="1"/>
  <c r="K3263" i="1"/>
  <c r="G3263" i="1"/>
  <c r="G3262" i="1"/>
  <c r="K3262" i="1" s="1"/>
  <c r="G3261" i="1"/>
  <c r="K3261" i="1" s="1"/>
  <c r="K3260" i="1"/>
  <c r="G3260" i="1"/>
  <c r="K3259" i="1"/>
  <c r="G3259" i="1"/>
  <c r="L3258" i="1"/>
  <c r="E3258" i="1"/>
  <c r="S3257" i="1"/>
  <c r="R3257" i="1"/>
  <c r="G3256" i="1"/>
  <c r="K3256" i="1" s="1"/>
  <c r="K3255" i="1"/>
  <c r="G3255" i="1"/>
  <c r="G3254" i="1"/>
  <c r="K3254" i="1" s="1"/>
  <c r="K3253" i="1"/>
  <c r="G3253" i="1"/>
  <c r="G3252" i="1"/>
  <c r="K3252" i="1" s="1"/>
  <c r="X3251" i="1"/>
  <c r="G3251" i="1"/>
  <c r="K3251" i="1" s="1"/>
  <c r="K3250" i="1"/>
  <c r="G3250" i="1"/>
  <c r="G3249" i="1"/>
  <c r="K3249" i="1" s="1"/>
  <c r="N3248" i="1"/>
  <c r="K3248" i="1"/>
  <c r="G3248" i="1"/>
  <c r="K3247" i="1"/>
  <c r="G3247" i="1"/>
  <c r="G3246" i="1"/>
  <c r="K3246" i="1" s="1"/>
  <c r="K3245" i="1"/>
  <c r="G3245" i="1"/>
  <c r="L3244" i="1"/>
  <c r="T3245" i="1" s="1"/>
  <c r="E3244" i="1"/>
  <c r="S3243" i="1"/>
  <c r="R3243" i="1"/>
  <c r="G3242" i="1"/>
  <c r="K3242" i="1" s="1"/>
  <c r="K3241" i="1"/>
  <c r="G3241" i="1"/>
  <c r="G3240" i="1"/>
  <c r="K3240" i="1" s="1"/>
  <c r="K3239" i="1"/>
  <c r="G3239" i="1"/>
  <c r="G3238" i="1"/>
  <c r="K3238" i="1" s="1"/>
  <c r="X3237" i="1"/>
  <c r="G3237" i="1"/>
  <c r="K3237" i="1" s="1"/>
  <c r="K3236" i="1"/>
  <c r="G3236" i="1"/>
  <c r="G3235" i="1"/>
  <c r="K3235" i="1" s="1"/>
  <c r="N3234" i="1"/>
  <c r="K3234" i="1"/>
  <c r="G3234" i="1"/>
  <c r="K3233" i="1"/>
  <c r="G3233" i="1"/>
  <c r="G3232" i="1"/>
  <c r="K3232" i="1" s="1"/>
  <c r="T3231" i="1"/>
  <c r="U3231" i="1" s="1"/>
  <c r="U3234" i="1" s="1"/>
  <c r="G3231" i="1"/>
  <c r="L3230" i="1"/>
  <c r="E3230" i="1"/>
  <c r="S3229" i="1"/>
  <c r="R3229" i="1"/>
  <c r="K3228" i="1"/>
  <c r="G3228" i="1"/>
  <c r="G3227" i="1"/>
  <c r="K3227" i="1" s="1"/>
  <c r="K3226" i="1"/>
  <c r="G3226" i="1"/>
  <c r="G3225" i="1"/>
  <c r="K3225" i="1" s="1"/>
  <c r="K3224" i="1"/>
  <c r="G3224" i="1"/>
  <c r="X3223" i="1"/>
  <c r="K3223" i="1"/>
  <c r="G3223" i="1"/>
  <c r="G3222" i="1"/>
  <c r="K3222" i="1" s="1"/>
  <c r="K3221" i="1"/>
  <c r="G3221" i="1"/>
  <c r="G3220" i="1"/>
  <c r="K3220" i="1" s="1"/>
  <c r="G3219" i="1"/>
  <c r="K3219" i="1" s="1"/>
  <c r="K3218" i="1"/>
  <c r="G3218" i="1"/>
  <c r="K3217" i="1"/>
  <c r="G3217" i="1"/>
  <c r="L3216" i="1"/>
  <c r="E3216" i="1"/>
  <c r="S3215" i="1"/>
  <c r="R3215" i="1"/>
  <c r="G3214" i="1"/>
  <c r="K3214" i="1" s="1"/>
  <c r="K3213" i="1"/>
  <c r="G3213" i="1"/>
  <c r="G3212" i="1"/>
  <c r="K3212" i="1" s="1"/>
  <c r="K3211" i="1"/>
  <c r="G3211" i="1"/>
  <c r="G3210" i="1"/>
  <c r="K3210" i="1" s="1"/>
  <c r="X3209" i="1"/>
  <c r="K3209" i="1"/>
  <c r="G3209" i="1"/>
  <c r="K3208" i="1"/>
  <c r="G3208" i="1"/>
  <c r="G3207" i="1"/>
  <c r="K3207" i="1" s="1"/>
  <c r="N3206" i="1"/>
  <c r="K3206" i="1"/>
  <c r="G3206" i="1"/>
  <c r="U3205" i="1"/>
  <c r="U3208" i="1" s="1"/>
  <c r="K3205" i="1"/>
  <c r="G3205" i="1"/>
  <c r="G3204" i="1"/>
  <c r="K3204" i="1" s="1"/>
  <c r="T3203" i="1"/>
  <c r="U3203" i="1" s="1"/>
  <c r="U3206" i="1" s="1"/>
  <c r="U3209" i="1" s="1"/>
  <c r="G3203" i="1"/>
  <c r="L3202" i="1"/>
  <c r="E3202" i="1"/>
  <c r="S3201" i="1"/>
  <c r="R3201" i="1"/>
  <c r="K3200" i="1"/>
  <c r="G3200" i="1"/>
  <c r="G3199" i="1"/>
  <c r="K3199" i="1" s="1"/>
  <c r="K3198" i="1"/>
  <c r="G3198" i="1"/>
  <c r="G3197" i="1"/>
  <c r="K3197" i="1" s="1"/>
  <c r="K3196" i="1"/>
  <c r="G3196" i="1"/>
  <c r="X3195" i="1"/>
  <c r="K3195" i="1"/>
  <c r="G3195" i="1"/>
  <c r="G3194" i="1"/>
  <c r="K3194" i="1" s="1"/>
  <c r="K3193" i="1"/>
  <c r="G3193" i="1"/>
  <c r="N3192" i="1"/>
  <c r="K3192" i="1"/>
  <c r="G3192" i="1"/>
  <c r="K3191" i="1"/>
  <c r="G3191" i="1"/>
  <c r="K3189" i="1"/>
  <c r="G3189" i="1"/>
  <c r="K3188" i="1"/>
  <c r="G3188" i="1"/>
  <c r="L3187" i="1"/>
  <c r="E3187" i="1"/>
  <c r="S3186" i="1"/>
  <c r="R3186" i="1"/>
  <c r="G3184" i="1"/>
  <c r="K3184" i="1" s="1"/>
  <c r="K3183" i="1"/>
  <c r="G3183" i="1"/>
  <c r="G3182" i="1"/>
  <c r="K3182" i="1" s="1"/>
  <c r="K3181" i="1"/>
  <c r="G3181" i="1"/>
  <c r="G3180" i="1"/>
  <c r="K3180" i="1" s="1"/>
  <c r="X3179" i="1"/>
  <c r="G3179" i="1"/>
  <c r="K3179" i="1" s="1"/>
  <c r="K3178" i="1"/>
  <c r="G3178" i="1"/>
  <c r="G3177" i="1"/>
  <c r="K3177" i="1" s="1"/>
  <c r="N3176" i="1"/>
  <c r="K3176" i="1"/>
  <c r="G3176" i="1"/>
  <c r="K3175" i="1"/>
  <c r="G3175" i="1"/>
  <c r="G3174" i="1"/>
  <c r="K3174" i="1" s="1"/>
  <c r="T3173" i="1"/>
  <c r="U3173" i="1" s="1"/>
  <c r="L3173" i="1"/>
  <c r="G3173" i="1"/>
  <c r="K3173" i="1" s="1"/>
  <c r="L3172" i="1"/>
  <c r="E3172" i="1"/>
  <c r="S3171" i="1"/>
  <c r="R3171" i="1"/>
  <c r="K3170" i="1"/>
  <c r="G3170" i="1"/>
  <c r="G3169" i="1"/>
  <c r="K3169" i="1" s="1"/>
  <c r="K3168" i="1"/>
  <c r="G3168" i="1"/>
  <c r="G3167" i="1"/>
  <c r="K3167" i="1" s="1"/>
  <c r="K3166" i="1"/>
  <c r="G3166" i="1"/>
  <c r="X3165" i="1"/>
  <c r="K3165" i="1"/>
  <c r="G3165" i="1"/>
  <c r="G3164" i="1"/>
  <c r="G3163" i="1"/>
  <c r="G3162" i="1"/>
  <c r="N3162" i="1" s="1"/>
  <c r="K3161" i="1"/>
  <c r="G3161" i="1"/>
  <c r="G3160" i="1"/>
  <c r="K3160" i="1" s="1"/>
  <c r="T3159" i="1"/>
  <c r="U3159" i="1" s="1"/>
  <c r="L3159" i="1"/>
  <c r="G3159" i="1"/>
  <c r="K3159" i="1" s="1"/>
  <c r="L3158" i="1"/>
  <c r="E3158" i="1"/>
  <c r="S3157" i="1"/>
  <c r="R3157" i="1"/>
  <c r="K3155" i="1"/>
  <c r="G3155" i="1"/>
  <c r="G3154" i="1"/>
  <c r="K3154" i="1" s="1"/>
  <c r="K3153" i="1"/>
  <c r="G3153" i="1"/>
  <c r="G3152" i="1"/>
  <c r="K3152" i="1" s="1"/>
  <c r="K3151" i="1"/>
  <c r="G3151" i="1"/>
  <c r="X3150" i="1"/>
  <c r="K3150" i="1"/>
  <c r="G3150" i="1"/>
  <c r="X3149" i="1"/>
  <c r="K3149" i="1"/>
  <c r="G3149" i="1"/>
  <c r="K3148" i="1"/>
  <c r="L3147" i="1"/>
  <c r="L3148" i="1" s="1"/>
  <c r="L3149" i="1" s="1"/>
  <c r="L3150" i="1" s="1"/>
  <c r="L3151" i="1" s="1"/>
  <c r="L3152" i="1" s="1"/>
  <c r="L3153" i="1" s="1"/>
  <c r="L3154" i="1" s="1"/>
  <c r="L3155" i="1" s="1"/>
  <c r="O3137" i="1" s="1"/>
  <c r="G3147" i="1"/>
  <c r="K3147" i="1" s="1"/>
  <c r="K3146" i="1"/>
  <c r="K3145" i="1"/>
  <c r="G3145" i="1"/>
  <c r="N3144" i="1"/>
  <c r="K3144" i="1"/>
  <c r="G3144" i="1"/>
  <c r="N3143" i="1"/>
  <c r="K3143" i="1"/>
  <c r="K3142" i="1"/>
  <c r="G3142" i="1"/>
  <c r="K3141" i="1"/>
  <c r="K3140" i="1"/>
  <c r="G3140" i="1"/>
  <c r="U3139" i="1"/>
  <c r="K3139" i="1"/>
  <c r="K3138" i="1"/>
  <c r="L3137" i="1"/>
  <c r="L3138" i="1" s="1"/>
  <c r="L3139" i="1" s="1"/>
  <c r="L3140" i="1" s="1"/>
  <c r="L3141" i="1" s="1"/>
  <c r="L3142" i="1" s="1"/>
  <c r="L3143" i="1" s="1"/>
  <c r="L3144" i="1" s="1"/>
  <c r="L3145" i="1" s="1"/>
  <c r="L3146" i="1" s="1"/>
  <c r="K3137" i="1"/>
  <c r="L3136" i="1"/>
  <c r="T3137" i="1" s="1"/>
  <c r="U3137" i="1" s="1"/>
  <c r="U3140" i="1" s="1"/>
  <c r="E3136" i="1"/>
  <c r="S3135" i="1"/>
  <c r="R3135" i="1"/>
  <c r="G3133" i="1"/>
  <c r="K3133" i="1" s="1"/>
  <c r="K3132" i="1"/>
  <c r="G3132" i="1"/>
  <c r="G3131" i="1"/>
  <c r="K3131" i="1" s="1"/>
  <c r="K3130" i="1"/>
  <c r="G3130" i="1"/>
  <c r="G3129" i="1"/>
  <c r="K3129" i="1" s="1"/>
  <c r="K3128" i="1"/>
  <c r="G3128" i="1"/>
  <c r="K3127" i="1"/>
  <c r="G3127" i="1"/>
  <c r="K3126" i="1"/>
  <c r="G3126" i="1"/>
  <c r="X3125" i="1"/>
  <c r="K3125" i="1"/>
  <c r="G3125" i="1"/>
  <c r="G3124" i="1"/>
  <c r="K3124" i="1" s="1"/>
  <c r="K3123" i="1"/>
  <c r="G3123" i="1"/>
  <c r="G3122" i="1"/>
  <c r="K3122" i="1" s="1"/>
  <c r="G3121" i="1"/>
  <c r="K3121" i="1" s="1"/>
  <c r="K3120" i="1"/>
  <c r="G3120" i="1"/>
  <c r="K3119" i="1"/>
  <c r="G3119" i="1"/>
  <c r="L3118" i="1"/>
  <c r="E3118" i="1"/>
  <c r="S3117" i="1"/>
  <c r="R3117" i="1"/>
  <c r="G3115" i="1"/>
  <c r="K3115" i="1" s="1"/>
  <c r="K3114" i="1"/>
  <c r="G3114" i="1"/>
  <c r="G3113" i="1"/>
  <c r="K3113" i="1" s="1"/>
  <c r="K3112" i="1"/>
  <c r="G3112" i="1"/>
  <c r="G3111" i="1"/>
  <c r="K3111" i="1" s="1"/>
  <c r="X3110" i="1"/>
  <c r="G3110" i="1"/>
  <c r="K3110" i="1" s="1"/>
  <c r="K3109" i="1"/>
  <c r="G3109" i="1"/>
  <c r="G3108" i="1"/>
  <c r="K3108" i="1" s="1"/>
  <c r="N3107" i="1"/>
  <c r="K3107" i="1"/>
  <c r="G3107" i="1"/>
  <c r="K3106" i="1"/>
  <c r="G3106" i="1"/>
  <c r="G3105" i="1"/>
  <c r="K3105" i="1" s="1"/>
  <c r="T3104" i="1"/>
  <c r="U3104" i="1" s="1"/>
  <c r="L3104" i="1"/>
  <c r="G3104" i="1"/>
  <c r="K3104" i="1" s="1"/>
  <c r="L3103" i="1"/>
  <c r="E3103" i="1"/>
  <c r="S3102" i="1"/>
  <c r="R3102" i="1"/>
  <c r="K3101" i="1"/>
  <c r="G3101" i="1"/>
  <c r="G3100" i="1"/>
  <c r="K3100" i="1" s="1"/>
  <c r="K3099" i="1"/>
  <c r="G3099" i="1"/>
  <c r="G3098" i="1"/>
  <c r="K3098" i="1" s="1"/>
  <c r="K3097" i="1"/>
  <c r="G3097" i="1"/>
  <c r="X3096" i="1"/>
  <c r="G3096" i="1"/>
  <c r="K3096" i="1" s="1"/>
  <c r="G3095" i="1"/>
  <c r="K3095" i="1" s="1"/>
  <c r="K3094" i="1"/>
  <c r="G3094" i="1"/>
  <c r="G3093" i="1"/>
  <c r="G3092" i="1"/>
  <c r="K3092" i="1" s="1"/>
  <c r="K3091" i="1"/>
  <c r="G3091" i="1"/>
  <c r="K3090" i="1"/>
  <c r="G3090" i="1"/>
  <c r="L3089" i="1"/>
  <c r="T3090" i="1" s="1"/>
  <c r="T3103" i="1" s="1"/>
  <c r="E3089" i="1"/>
  <c r="S3088" i="1"/>
  <c r="R3088" i="1"/>
  <c r="G3087" i="1"/>
  <c r="K3087" i="1" s="1"/>
  <c r="K3086" i="1"/>
  <c r="G3086" i="1"/>
  <c r="G3085" i="1"/>
  <c r="K3085" i="1" s="1"/>
  <c r="K3084" i="1"/>
  <c r="G3084" i="1"/>
  <c r="G3083" i="1"/>
  <c r="K3083" i="1" s="1"/>
  <c r="K3082" i="1"/>
  <c r="G3082" i="1"/>
  <c r="G3081" i="1"/>
  <c r="K3081" i="1" s="1"/>
  <c r="K3080" i="1"/>
  <c r="G3080" i="1"/>
  <c r="G3079" i="1"/>
  <c r="K3079" i="1" s="1"/>
  <c r="X3078" i="1"/>
  <c r="G3078" i="1"/>
  <c r="K3078" i="1" s="1"/>
  <c r="X3077" i="1"/>
  <c r="G3077" i="1"/>
  <c r="K3077" i="1" s="1"/>
  <c r="K3076" i="1"/>
  <c r="G3076" i="1"/>
  <c r="G3075" i="1"/>
  <c r="K3075" i="1" s="1"/>
  <c r="N3074" i="1"/>
  <c r="K3074" i="1"/>
  <c r="G3074" i="1"/>
  <c r="U3073" i="1"/>
  <c r="K3073" i="1"/>
  <c r="G3073" i="1"/>
  <c r="G3072" i="1"/>
  <c r="K3072" i="1" s="1"/>
  <c r="T3071" i="1"/>
  <c r="U3071" i="1" s="1"/>
  <c r="U3074" i="1" s="1"/>
  <c r="G3071" i="1"/>
  <c r="L3070" i="1"/>
  <c r="E3070" i="1"/>
  <c r="D3070" i="1"/>
  <c r="S3069" i="1"/>
  <c r="R3069" i="1"/>
  <c r="G3068" i="1"/>
  <c r="K3068" i="1" s="1"/>
  <c r="K3067" i="1"/>
  <c r="G3067" i="1"/>
  <c r="G3066" i="1"/>
  <c r="K3066" i="1" s="1"/>
  <c r="K3065" i="1"/>
  <c r="G3065" i="1"/>
  <c r="K3064" i="1"/>
  <c r="G3064" i="1"/>
  <c r="X3063" i="1"/>
  <c r="G3063" i="1"/>
  <c r="K3063" i="1" s="1"/>
  <c r="K3062" i="1"/>
  <c r="G3062" i="1"/>
  <c r="G3061" i="1"/>
  <c r="K3061" i="1" s="1"/>
  <c r="N3060" i="1"/>
  <c r="K3060" i="1"/>
  <c r="G3060" i="1"/>
  <c r="U3059" i="1"/>
  <c r="U3063" i="1" s="1"/>
  <c r="K3059" i="1"/>
  <c r="G3059" i="1"/>
  <c r="G3058" i="1"/>
  <c r="K3058" i="1" s="1"/>
  <c r="T3057" i="1"/>
  <c r="U3057" i="1" s="1"/>
  <c r="U3060" i="1" s="1"/>
  <c r="L3057" i="1"/>
  <c r="L3058" i="1" s="1"/>
  <c r="L3059" i="1" s="1"/>
  <c r="L3060" i="1" s="1"/>
  <c r="L3061" i="1" s="1"/>
  <c r="L3062" i="1" s="1"/>
  <c r="L3063" i="1" s="1"/>
  <c r="L3064" i="1" s="1"/>
  <c r="L3065" i="1" s="1"/>
  <c r="L3066" i="1" s="1"/>
  <c r="L3067" i="1" s="1"/>
  <c r="L3068" i="1" s="1"/>
  <c r="O3057" i="1" s="1"/>
  <c r="G3057" i="1"/>
  <c r="K3057" i="1" s="1"/>
  <c r="L3056" i="1"/>
  <c r="E3056" i="1"/>
  <c r="K3054" i="1"/>
  <c r="G3054" i="1"/>
  <c r="S3053" i="1"/>
  <c r="R3053" i="1"/>
  <c r="G3053" i="1"/>
  <c r="K3053" i="1" s="1"/>
  <c r="K3052" i="1"/>
  <c r="G3052" i="1"/>
  <c r="G3051" i="1"/>
  <c r="K3051" i="1" s="1"/>
  <c r="K3050" i="1"/>
  <c r="G3050" i="1"/>
  <c r="G3049" i="1"/>
  <c r="K3049" i="1" s="1"/>
  <c r="K3048" i="1"/>
  <c r="G3048" i="1"/>
  <c r="G3047" i="1"/>
  <c r="K3047" i="1" s="1"/>
  <c r="K3046" i="1"/>
  <c r="G3046" i="1"/>
  <c r="G3045" i="1"/>
  <c r="K3045" i="1" s="1"/>
  <c r="X3044" i="1"/>
  <c r="G3044" i="1"/>
  <c r="K3044" i="1" s="1"/>
  <c r="K3043" i="1"/>
  <c r="G3043" i="1"/>
  <c r="G3042" i="1"/>
  <c r="K3042" i="1" s="1"/>
  <c r="N3041" i="1"/>
  <c r="K3041" i="1"/>
  <c r="G3041" i="1"/>
  <c r="U3040" i="1"/>
  <c r="K3040" i="1"/>
  <c r="G3040" i="1"/>
  <c r="G3039" i="1"/>
  <c r="K3039" i="1" s="1"/>
  <c r="T3038" i="1"/>
  <c r="U3038" i="1" s="1"/>
  <c r="U3041" i="1" s="1"/>
  <c r="L3038" i="1"/>
  <c r="L3039" i="1" s="1"/>
  <c r="L3040" i="1" s="1"/>
  <c r="L3041" i="1" s="1"/>
  <c r="L3042" i="1" s="1"/>
  <c r="L3043" i="1" s="1"/>
  <c r="L3044" i="1" s="1"/>
  <c r="L3045" i="1" s="1"/>
  <c r="L3046" i="1" s="1"/>
  <c r="L3047" i="1" s="1"/>
  <c r="L3048" i="1" s="1"/>
  <c r="L3049" i="1" s="1"/>
  <c r="L3050" i="1" s="1"/>
  <c r="L3051" i="1" s="1"/>
  <c r="L3052" i="1" s="1"/>
  <c r="L3053" i="1" s="1"/>
  <c r="L3054" i="1" s="1"/>
  <c r="O3038" i="1" s="1"/>
  <c r="G3038" i="1"/>
  <c r="K3038" i="1" s="1"/>
  <c r="L3037" i="1"/>
  <c r="E3037" i="1"/>
  <c r="K3036" i="1"/>
  <c r="G3036" i="1"/>
  <c r="G3035" i="1"/>
  <c r="K3035" i="1" s="1"/>
  <c r="K3034" i="1"/>
  <c r="G3034" i="1"/>
  <c r="G3033" i="1"/>
  <c r="K3033" i="1" s="1"/>
  <c r="K3032" i="1"/>
  <c r="G3032" i="1"/>
  <c r="X3031" i="1"/>
  <c r="K3031" i="1"/>
  <c r="G3031" i="1"/>
  <c r="G3030" i="1"/>
  <c r="K3030" i="1" s="1"/>
  <c r="K3029" i="1"/>
  <c r="G3029" i="1"/>
  <c r="N3028" i="1"/>
  <c r="K3028" i="1"/>
  <c r="G3028" i="1"/>
  <c r="L3027" i="1"/>
  <c r="L3028" i="1" s="1"/>
  <c r="L3029" i="1" s="1"/>
  <c r="L3030" i="1" s="1"/>
  <c r="L3031" i="1" s="1"/>
  <c r="L3032" i="1" s="1"/>
  <c r="L3033" i="1" s="1"/>
  <c r="L3034" i="1" s="1"/>
  <c r="L3035" i="1" s="1"/>
  <c r="L3036" i="1" s="1"/>
  <c r="O3025" i="1" s="1"/>
  <c r="G3027" i="1"/>
  <c r="K3027" i="1" s="1"/>
  <c r="K3026" i="1"/>
  <c r="G3026" i="1"/>
  <c r="K3025" i="1"/>
  <c r="G3025" i="1"/>
  <c r="L3024" i="1"/>
  <c r="L3025" i="1" s="1"/>
  <c r="L3026" i="1" s="1"/>
  <c r="E3024" i="1"/>
  <c r="G3023" i="1"/>
  <c r="K3023" i="1" s="1"/>
  <c r="X3022" i="1"/>
  <c r="G3022" i="1"/>
  <c r="K3022" i="1" s="1"/>
  <c r="K3021" i="1"/>
  <c r="G3021" i="1"/>
  <c r="G3020" i="1"/>
  <c r="K3020" i="1" s="1"/>
  <c r="G3019" i="1"/>
  <c r="S3018" i="1"/>
  <c r="R3018" i="1"/>
  <c r="K3018" i="1"/>
  <c r="G3018" i="1"/>
  <c r="L3017" i="1"/>
  <c r="L3018" i="1" s="1"/>
  <c r="L3019" i="1" s="1"/>
  <c r="L3020" i="1" s="1"/>
  <c r="L3021" i="1" s="1"/>
  <c r="L3022" i="1" s="1"/>
  <c r="L3023" i="1" s="1"/>
  <c r="O3016" i="1" s="1"/>
  <c r="G3017" i="1"/>
  <c r="K3017" i="1" s="1"/>
  <c r="L3016" i="1"/>
  <c r="G3016" i="1"/>
  <c r="K3016" i="1" s="1"/>
  <c r="L3015" i="1"/>
  <c r="E3015" i="1"/>
  <c r="S3014" i="1"/>
  <c r="R3014" i="1"/>
  <c r="K3013" i="1"/>
  <c r="G3013" i="1"/>
  <c r="G3012" i="1"/>
  <c r="K3012" i="1" s="1"/>
  <c r="K3011" i="1"/>
  <c r="G3011" i="1"/>
  <c r="G3010" i="1"/>
  <c r="K3010" i="1" s="1"/>
  <c r="K3009" i="1"/>
  <c r="G3009" i="1"/>
  <c r="X3008" i="1"/>
  <c r="K3008" i="1"/>
  <c r="G3008" i="1"/>
  <c r="G3007" i="1"/>
  <c r="K3007" i="1" s="1"/>
  <c r="K3006" i="1"/>
  <c r="G3006" i="1"/>
  <c r="G3005" i="1"/>
  <c r="G3004" i="1"/>
  <c r="K3004" i="1" s="1"/>
  <c r="K3003" i="1"/>
  <c r="G3003" i="1"/>
  <c r="K3002" i="1"/>
  <c r="G3002" i="1"/>
  <c r="L3001" i="1"/>
  <c r="E3001" i="1"/>
  <c r="S3000" i="1"/>
  <c r="R3000" i="1"/>
  <c r="G2998" i="1"/>
  <c r="K2998" i="1" s="1"/>
  <c r="K2997" i="1"/>
  <c r="G2997" i="1"/>
  <c r="G2996" i="1"/>
  <c r="K2996" i="1" s="1"/>
  <c r="K2995" i="1"/>
  <c r="G2995" i="1"/>
  <c r="G2994" i="1"/>
  <c r="K2994" i="1" s="1"/>
  <c r="X2993" i="1"/>
  <c r="G2993" i="1"/>
  <c r="K2993" i="1" s="1"/>
  <c r="K2992" i="1"/>
  <c r="G2992" i="1"/>
  <c r="G2991" i="1"/>
  <c r="K2991" i="1" s="1"/>
  <c r="N2990" i="1"/>
  <c r="K2990" i="1"/>
  <c r="G2990" i="1"/>
  <c r="U2989" i="1"/>
  <c r="K2989" i="1"/>
  <c r="G2989" i="1"/>
  <c r="G2988" i="1"/>
  <c r="K2988" i="1" s="1"/>
  <c r="T2987" i="1"/>
  <c r="U2987" i="1" s="1"/>
  <c r="U2990" i="1" s="1"/>
  <c r="L2987" i="1"/>
  <c r="L2988" i="1" s="1"/>
  <c r="L2989" i="1" s="1"/>
  <c r="L2990" i="1" s="1"/>
  <c r="L2991" i="1" s="1"/>
  <c r="L2992" i="1" s="1"/>
  <c r="L2993" i="1" s="1"/>
  <c r="L2994" i="1" s="1"/>
  <c r="L2995" i="1" s="1"/>
  <c r="L2996" i="1" s="1"/>
  <c r="L2997" i="1" s="1"/>
  <c r="L2998" i="1" s="1"/>
  <c r="O2987" i="1" s="1"/>
  <c r="G2987" i="1"/>
  <c r="K2987" i="1" s="1"/>
  <c r="L2986" i="1"/>
  <c r="E2986" i="1"/>
  <c r="S2985" i="1"/>
  <c r="R2985" i="1"/>
  <c r="K2984" i="1"/>
  <c r="G2984" i="1"/>
  <c r="G2983" i="1"/>
  <c r="K2983" i="1" s="1"/>
  <c r="K2982" i="1"/>
  <c r="G2982" i="1"/>
  <c r="G2981" i="1"/>
  <c r="K2981" i="1" s="1"/>
  <c r="K2980" i="1"/>
  <c r="G2980" i="1"/>
  <c r="X2979" i="1"/>
  <c r="K2979" i="1"/>
  <c r="G2979" i="1"/>
  <c r="G2978" i="1"/>
  <c r="K2978" i="1" s="1"/>
  <c r="K2977" i="1"/>
  <c r="G2977" i="1"/>
  <c r="G2976" i="1"/>
  <c r="G2975" i="1"/>
  <c r="K2975" i="1" s="1"/>
  <c r="K2974" i="1"/>
  <c r="G2974" i="1"/>
  <c r="K2973" i="1"/>
  <c r="G2973" i="1"/>
  <c r="L2972" i="1"/>
  <c r="E2972" i="1"/>
  <c r="S2971" i="1"/>
  <c r="R2971" i="1"/>
  <c r="G2970" i="1"/>
  <c r="K2970" i="1" s="1"/>
  <c r="K2969" i="1"/>
  <c r="G2969" i="1"/>
  <c r="G2968" i="1"/>
  <c r="K2968" i="1" s="1"/>
  <c r="K2967" i="1"/>
  <c r="G2967" i="1"/>
  <c r="G2966" i="1"/>
  <c r="K2966" i="1" s="1"/>
  <c r="X2965" i="1"/>
  <c r="K2965" i="1"/>
  <c r="G2965" i="1"/>
  <c r="K2964" i="1"/>
  <c r="G2964" i="1"/>
  <c r="G2963" i="1"/>
  <c r="K2963" i="1" s="1"/>
  <c r="N2962" i="1"/>
  <c r="K2962" i="1"/>
  <c r="G2962" i="1"/>
  <c r="K2961" i="1"/>
  <c r="G2961" i="1"/>
  <c r="G2960" i="1"/>
  <c r="K2960" i="1" s="1"/>
  <c r="L2959" i="1"/>
  <c r="L2960" i="1" s="1"/>
  <c r="L2961" i="1" s="1"/>
  <c r="L2962" i="1" s="1"/>
  <c r="L2963" i="1" s="1"/>
  <c r="L2964" i="1" s="1"/>
  <c r="L2965" i="1" s="1"/>
  <c r="L2966" i="1" s="1"/>
  <c r="L2967" i="1" s="1"/>
  <c r="L2968" i="1" s="1"/>
  <c r="L2969" i="1" s="1"/>
  <c r="L2970" i="1" s="1"/>
  <c r="O2959" i="1" s="1"/>
  <c r="G2959" i="1"/>
  <c r="K2959" i="1" s="1"/>
  <c r="L2958" i="1"/>
  <c r="T2960" i="1" s="1"/>
  <c r="U2960" i="1" s="1"/>
  <c r="E2958" i="1"/>
  <c r="S2957" i="1"/>
  <c r="R2957" i="1"/>
  <c r="K2956" i="1"/>
  <c r="G2956" i="1"/>
  <c r="G2955" i="1"/>
  <c r="K2955" i="1" s="1"/>
  <c r="K2954" i="1"/>
  <c r="G2954" i="1"/>
  <c r="G2953" i="1"/>
  <c r="K2953" i="1" s="1"/>
  <c r="K2952" i="1"/>
  <c r="G2952" i="1"/>
  <c r="X2951" i="1"/>
  <c r="K2951" i="1"/>
  <c r="G2951" i="1"/>
  <c r="G2950" i="1"/>
  <c r="K2950" i="1" s="1"/>
  <c r="K2949" i="1"/>
  <c r="G2949" i="1"/>
  <c r="G2948" i="1"/>
  <c r="G2947" i="1"/>
  <c r="K2947" i="1" s="1"/>
  <c r="K2946" i="1"/>
  <c r="G2946" i="1"/>
  <c r="K2945" i="1"/>
  <c r="G2945" i="1"/>
  <c r="S2944" i="1"/>
  <c r="R2944" i="1"/>
  <c r="L2944" i="1"/>
  <c r="E2944" i="1"/>
  <c r="G2942" i="1"/>
  <c r="K2942" i="1" s="1"/>
  <c r="K2941" i="1"/>
  <c r="G2941" i="1"/>
  <c r="G2940" i="1"/>
  <c r="K2940" i="1" s="1"/>
  <c r="K2939" i="1"/>
  <c r="G2939" i="1"/>
  <c r="G2938" i="1"/>
  <c r="K2938" i="1" s="1"/>
  <c r="X2937" i="1"/>
  <c r="G2937" i="1"/>
  <c r="K2937" i="1" s="1"/>
  <c r="K2936" i="1"/>
  <c r="G2936" i="1"/>
  <c r="G2935" i="1"/>
  <c r="K2935" i="1" s="1"/>
  <c r="N2934" i="1"/>
  <c r="K2934" i="1"/>
  <c r="G2934" i="1"/>
  <c r="U2933" i="1"/>
  <c r="K2933" i="1"/>
  <c r="G2933" i="1"/>
  <c r="G2932" i="1"/>
  <c r="K2932" i="1" s="1"/>
  <c r="T2931" i="1"/>
  <c r="U2931" i="1" s="1"/>
  <c r="U2934" i="1" s="1"/>
  <c r="L2931" i="1"/>
  <c r="L2932" i="1" s="1"/>
  <c r="L2933" i="1" s="1"/>
  <c r="L2934" i="1" s="1"/>
  <c r="L2935" i="1" s="1"/>
  <c r="L2936" i="1" s="1"/>
  <c r="L2937" i="1" s="1"/>
  <c r="L2938" i="1" s="1"/>
  <c r="L2939" i="1" s="1"/>
  <c r="L2940" i="1" s="1"/>
  <c r="L2941" i="1" s="1"/>
  <c r="L2942" i="1" s="1"/>
  <c r="O2931" i="1" s="1"/>
  <c r="G2931" i="1"/>
  <c r="K2931" i="1" s="1"/>
  <c r="L2930" i="1"/>
  <c r="E2930" i="1"/>
  <c r="K2929" i="1"/>
  <c r="G2929" i="1"/>
  <c r="G2928" i="1"/>
  <c r="K2928" i="1" s="1"/>
  <c r="K2927" i="1"/>
  <c r="G2927" i="1"/>
  <c r="N2926" i="1"/>
  <c r="K2926" i="1"/>
  <c r="G2926" i="1"/>
  <c r="K2925" i="1"/>
  <c r="G2925" i="1"/>
  <c r="L2924" i="1"/>
  <c r="L2925" i="1" s="1"/>
  <c r="L2926" i="1" s="1"/>
  <c r="L2927" i="1" s="1"/>
  <c r="L2928" i="1" s="1"/>
  <c r="L2929" i="1" s="1"/>
  <c r="O2925" i="1" s="1"/>
  <c r="E2924" i="1"/>
  <c r="L2923" i="1"/>
  <c r="G2923" i="1"/>
  <c r="K2923" i="1" s="1"/>
  <c r="K2922" i="1"/>
  <c r="G2922" i="1"/>
  <c r="O2921" i="1"/>
  <c r="K2921" i="1"/>
  <c r="G2921" i="1"/>
  <c r="L2920" i="1"/>
  <c r="L2921" i="1" s="1"/>
  <c r="L2922" i="1" s="1"/>
  <c r="E2920" i="1"/>
  <c r="G2919" i="1"/>
  <c r="K2919" i="1" s="1"/>
  <c r="G2918" i="1"/>
  <c r="K2918" i="1" s="1"/>
  <c r="L2917" i="1"/>
  <c r="E2917" i="1"/>
  <c r="K2916" i="1"/>
  <c r="G2916" i="1"/>
  <c r="K2915" i="1"/>
  <c r="G2915" i="1"/>
  <c r="L2914" i="1"/>
  <c r="L2915" i="1" s="1"/>
  <c r="L2916" i="1" s="1"/>
  <c r="O2915" i="1" s="1"/>
  <c r="E2914" i="1"/>
  <c r="G2913" i="1"/>
  <c r="K2913" i="1" s="1"/>
  <c r="T2912" i="1"/>
  <c r="U2912" i="1" s="1"/>
  <c r="L2912" i="1"/>
  <c r="L2913" i="1" s="1"/>
  <c r="O2912" i="1" s="1"/>
  <c r="G2912" i="1"/>
  <c r="K2912" i="1" s="1"/>
  <c r="T2911" i="1"/>
  <c r="T2914" i="1" s="1"/>
  <c r="U2914" i="1" s="1"/>
  <c r="L2911" i="1"/>
  <c r="E2911" i="1"/>
  <c r="G2910" i="1"/>
  <c r="K2910" i="1" s="1"/>
  <c r="G2909" i="1"/>
  <c r="L2908" i="1"/>
  <c r="E2908" i="1"/>
  <c r="K2907" i="1"/>
  <c r="G2907" i="1"/>
  <c r="G2906" i="1"/>
  <c r="K2906" i="1" s="1"/>
  <c r="K2905" i="1"/>
  <c r="G2905" i="1"/>
  <c r="K2904" i="1"/>
  <c r="G2904" i="1"/>
  <c r="L2903" i="1"/>
  <c r="L2904" i="1" s="1"/>
  <c r="L2905" i="1" s="1"/>
  <c r="L2906" i="1" s="1"/>
  <c r="L2907" i="1" s="1"/>
  <c r="O2904" i="1" s="1"/>
  <c r="E2903" i="1"/>
  <c r="G2902" i="1"/>
  <c r="K2902" i="1" s="1"/>
  <c r="L2901" i="1"/>
  <c r="L2902" i="1" s="1"/>
  <c r="O2901" i="1" s="1"/>
  <c r="G2901" i="1"/>
  <c r="K2901" i="1" s="1"/>
  <c r="T2900" i="1"/>
  <c r="L2900" i="1"/>
  <c r="E2900" i="1"/>
  <c r="G2899" i="1"/>
  <c r="K2899" i="1" s="1"/>
  <c r="G2898" i="1"/>
  <c r="K2898" i="1" s="1"/>
  <c r="T2897" i="1"/>
  <c r="T2898" i="1" s="1"/>
  <c r="G2897" i="1"/>
  <c r="K2897" i="1" s="1"/>
  <c r="L2896" i="1"/>
  <c r="L2897" i="1" s="1"/>
  <c r="L2898" i="1" s="1"/>
  <c r="L2899" i="1" s="1"/>
  <c r="O2896" i="1" s="1"/>
  <c r="G2896" i="1"/>
  <c r="K2896" i="1" s="1"/>
  <c r="L2895" i="1"/>
  <c r="E2895" i="1"/>
  <c r="K2894" i="1"/>
  <c r="G2894" i="1"/>
  <c r="G2893" i="1"/>
  <c r="K2893" i="1" s="1"/>
  <c r="L2892" i="1"/>
  <c r="L2893" i="1" s="1"/>
  <c r="L2894" i="1" s="1"/>
  <c r="O2892" i="1" s="1"/>
  <c r="G2892" i="1"/>
  <c r="K2892" i="1" s="1"/>
  <c r="L2891" i="1"/>
  <c r="E2891" i="1"/>
  <c r="K2890" i="1"/>
  <c r="G2890" i="1"/>
  <c r="L2889" i="1"/>
  <c r="L2890" i="1" s="1"/>
  <c r="G2889" i="1"/>
  <c r="K2889" i="1" s="1"/>
  <c r="K2888" i="1"/>
  <c r="G2888" i="1"/>
  <c r="O2887" i="1"/>
  <c r="K2887" i="1"/>
  <c r="G2887" i="1"/>
  <c r="L2886" i="1"/>
  <c r="L2887" i="1" s="1"/>
  <c r="L2888" i="1" s="1"/>
  <c r="E2886" i="1"/>
  <c r="G2885" i="1"/>
  <c r="K2885" i="1" s="1"/>
  <c r="K2884" i="1"/>
  <c r="G2884" i="1"/>
  <c r="G2883" i="1"/>
  <c r="K2883" i="1" s="1"/>
  <c r="G2882" i="1"/>
  <c r="K2882" i="1" s="1"/>
  <c r="L2881" i="1"/>
  <c r="E2881" i="1"/>
  <c r="K2880" i="1"/>
  <c r="G2880" i="1"/>
  <c r="G2879" i="1"/>
  <c r="K2879" i="1" s="1"/>
  <c r="G2878" i="1"/>
  <c r="K2878" i="1" s="1"/>
  <c r="E2877" i="1"/>
  <c r="D2877" i="1"/>
  <c r="L2877" i="1" s="1"/>
  <c r="L2876" i="1"/>
  <c r="G2876" i="1"/>
  <c r="K2876" i="1" s="1"/>
  <c r="K2875" i="1"/>
  <c r="G2875" i="1"/>
  <c r="O2874" i="1"/>
  <c r="K2874" i="1"/>
  <c r="G2874" i="1"/>
  <c r="L2873" i="1"/>
  <c r="L2874" i="1" s="1"/>
  <c r="L2875" i="1" s="1"/>
  <c r="E2873" i="1"/>
  <c r="G2872" i="1"/>
  <c r="K2872" i="1" s="1"/>
  <c r="K2871" i="1"/>
  <c r="G2871" i="1"/>
  <c r="K2870" i="1"/>
  <c r="G2870" i="1"/>
  <c r="L2869" i="1"/>
  <c r="L2870" i="1" s="1"/>
  <c r="L2871" i="1" s="1"/>
  <c r="L2872" i="1" s="1"/>
  <c r="O2870" i="1" s="1"/>
  <c r="E2869" i="1"/>
  <c r="G2868" i="1"/>
  <c r="K2868" i="1" s="1"/>
  <c r="S2867" i="1"/>
  <c r="R2867" i="1"/>
  <c r="K2867" i="1"/>
  <c r="G2867" i="1"/>
  <c r="S2866" i="1"/>
  <c r="R2866" i="1"/>
  <c r="G2866" i="1"/>
  <c r="K2866" i="1" s="1"/>
  <c r="S2865" i="1"/>
  <c r="R2865" i="1"/>
  <c r="L2865" i="1"/>
  <c r="L2866" i="1" s="1"/>
  <c r="L2867" i="1" s="1"/>
  <c r="L2868" i="1" s="1"/>
  <c r="O2864" i="1" s="1"/>
  <c r="G2865" i="1"/>
  <c r="K2865" i="1" s="1"/>
  <c r="K2864" i="1"/>
  <c r="G2864" i="1"/>
  <c r="T2863" i="1"/>
  <c r="L2863" i="1"/>
  <c r="L2864" i="1" s="1"/>
  <c r="E2863" i="1"/>
  <c r="K2862" i="1"/>
  <c r="G2862" i="1"/>
  <c r="G2861" i="1"/>
  <c r="K2861" i="1" s="1"/>
  <c r="G2860" i="1"/>
  <c r="K2860" i="1" s="1"/>
  <c r="K2859" i="1"/>
  <c r="G2859" i="1"/>
  <c r="L2858" i="1"/>
  <c r="E2858" i="1"/>
  <c r="G2857" i="1"/>
  <c r="K2857" i="1" s="1"/>
  <c r="K2856" i="1"/>
  <c r="G2856" i="1"/>
  <c r="G2855" i="1"/>
  <c r="K2855" i="1" s="1"/>
  <c r="K2854" i="1"/>
  <c r="G2854" i="1"/>
  <c r="K2853" i="1"/>
  <c r="G2853" i="1"/>
  <c r="L2852" i="1"/>
  <c r="L2853" i="1" s="1"/>
  <c r="L2854" i="1" s="1"/>
  <c r="L2855" i="1" s="1"/>
  <c r="L2856" i="1" s="1"/>
  <c r="L2857" i="1" s="1"/>
  <c r="O2853" i="1" s="1"/>
  <c r="E2852" i="1"/>
  <c r="G2851" i="1"/>
  <c r="K2851" i="1" s="1"/>
  <c r="K2850" i="1"/>
  <c r="G2850" i="1"/>
  <c r="L2849" i="1"/>
  <c r="L2850" i="1" s="1"/>
  <c r="L2851" i="1" s="1"/>
  <c r="O2847" i="1" s="1"/>
  <c r="G2849" i="1"/>
  <c r="K2849" i="1" s="1"/>
  <c r="K2848" i="1"/>
  <c r="G2848" i="1"/>
  <c r="S2847" i="1"/>
  <c r="R2847" i="1"/>
  <c r="K2847" i="1"/>
  <c r="G2847" i="1"/>
  <c r="L2846" i="1"/>
  <c r="L2847" i="1" s="1"/>
  <c r="L2848" i="1" s="1"/>
  <c r="E2846" i="1"/>
  <c r="G2845" i="1"/>
  <c r="K2845" i="1" s="1"/>
  <c r="K2844" i="1"/>
  <c r="G2844" i="1"/>
  <c r="G2843" i="1"/>
  <c r="K2843" i="1" s="1"/>
  <c r="K2842" i="1"/>
  <c r="G2842" i="1"/>
  <c r="G2841" i="1"/>
  <c r="K2841" i="1" s="1"/>
  <c r="K2840" i="1"/>
  <c r="G2840" i="1"/>
  <c r="K2839" i="1"/>
  <c r="G2839" i="1"/>
  <c r="L2838" i="1"/>
  <c r="L2839" i="1" s="1"/>
  <c r="L2840" i="1" s="1"/>
  <c r="E2838" i="1"/>
  <c r="G2837" i="1"/>
  <c r="K2837" i="1" s="1"/>
  <c r="K2836" i="1"/>
  <c r="G2836" i="1"/>
  <c r="G2835" i="1"/>
  <c r="K2835" i="1" s="1"/>
  <c r="K2834" i="1"/>
  <c r="G2834" i="1"/>
  <c r="G2833" i="1"/>
  <c r="K2833" i="1" s="1"/>
  <c r="G2832" i="1"/>
  <c r="K2832" i="1" s="1"/>
  <c r="G2831" i="1"/>
  <c r="K2831" i="1" s="1"/>
  <c r="T2830" i="1"/>
  <c r="T2832" i="1" s="1"/>
  <c r="G2830" i="1"/>
  <c r="K2830" i="1" s="1"/>
  <c r="K2829" i="1"/>
  <c r="G2829" i="1"/>
  <c r="K2828" i="1"/>
  <c r="G2828" i="1"/>
  <c r="L2827" i="1"/>
  <c r="L2828" i="1" s="1"/>
  <c r="L2829" i="1" s="1"/>
  <c r="L2830" i="1" s="1"/>
  <c r="L2831" i="1" s="1"/>
  <c r="L2832" i="1" s="1"/>
  <c r="L2833" i="1" s="1"/>
  <c r="L2834" i="1" s="1"/>
  <c r="L2835" i="1" s="1"/>
  <c r="L2836" i="1" s="1"/>
  <c r="L2837" i="1" s="1"/>
  <c r="O2828" i="1" s="1"/>
  <c r="E2827" i="1"/>
  <c r="G2826" i="1"/>
  <c r="K2826" i="1" s="1"/>
  <c r="K2825" i="1"/>
  <c r="G2825" i="1"/>
  <c r="G2824" i="1"/>
  <c r="K2824" i="1" s="1"/>
  <c r="K2823" i="1"/>
  <c r="G2823" i="1"/>
  <c r="L2822" i="1"/>
  <c r="L2823" i="1" s="1"/>
  <c r="L2824" i="1" s="1"/>
  <c r="L2825" i="1" s="1"/>
  <c r="L2826" i="1" s="1"/>
  <c r="O2821" i="1" s="1"/>
  <c r="G2822" i="1"/>
  <c r="K2822" i="1" s="1"/>
  <c r="L2821" i="1"/>
  <c r="G2821" i="1"/>
  <c r="K2821" i="1" s="1"/>
  <c r="L2820" i="1"/>
  <c r="E2820" i="1"/>
  <c r="K2819" i="1"/>
  <c r="K2818" i="1"/>
  <c r="G2818" i="1"/>
  <c r="G2817" i="1"/>
  <c r="K2817" i="1" s="1"/>
  <c r="K2816" i="1"/>
  <c r="G2816" i="1"/>
  <c r="G2815" i="1"/>
  <c r="K2815" i="1" s="1"/>
  <c r="G2814" i="1"/>
  <c r="L2813" i="1"/>
  <c r="E2813" i="1"/>
  <c r="K2812" i="1"/>
  <c r="G2812" i="1"/>
  <c r="G2811" i="1"/>
  <c r="K2811" i="1" s="1"/>
  <c r="K2810" i="1"/>
  <c r="G2810" i="1"/>
  <c r="K2809" i="1"/>
  <c r="G2809" i="1"/>
  <c r="L2808" i="1"/>
  <c r="L2809" i="1" s="1"/>
  <c r="L2810" i="1" s="1"/>
  <c r="L2811" i="1" s="1"/>
  <c r="L2812" i="1" s="1"/>
  <c r="O2809" i="1" s="1"/>
  <c r="E2808" i="1"/>
  <c r="G2807" i="1"/>
  <c r="K2807" i="1" s="1"/>
  <c r="K2806" i="1"/>
  <c r="G2806" i="1"/>
  <c r="G2805" i="1"/>
  <c r="K2805" i="1" s="1"/>
  <c r="K2804" i="1"/>
  <c r="G2804" i="1"/>
  <c r="G2803" i="1"/>
  <c r="K2803" i="1" s="1"/>
  <c r="L2802" i="1"/>
  <c r="L2803" i="1" s="1"/>
  <c r="L2804" i="1" s="1"/>
  <c r="L2805" i="1" s="1"/>
  <c r="L2806" i="1" s="1"/>
  <c r="L2807" i="1" s="1"/>
  <c r="O2802" i="1" s="1"/>
  <c r="G2802" i="1"/>
  <c r="K2802" i="1" s="1"/>
  <c r="L2801" i="1"/>
  <c r="E2801" i="1"/>
  <c r="G2800" i="1"/>
  <c r="K2800" i="1" s="1"/>
  <c r="G2799" i="1"/>
  <c r="K2799" i="1" s="1"/>
  <c r="K2798" i="1"/>
  <c r="G2798" i="1"/>
  <c r="G2797" i="1"/>
  <c r="K2797" i="1" s="1"/>
  <c r="K2796" i="1"/>
  <c r="G2796" i="1"/>
  <c r="K2795" i="1"/>
  <c r="G2795" i="1"/>
  <c r="L2794" i="1"/>
  <c r="E2794" i="1"/>
  <c r="G2793" i="1"/>
  <c r="K2793" i="1" s="1"/>
  <c r="K2792" i="1"/>
  <c r="G2792" i="1"/>
  <c r="K2791" i="1"/>
  <c r="G2791" i="1"/>
  <c r="T2790" i="1"/>
  <c r="K2790" i="1"/>
  <c r="G2790" i="1"/>
  <c r="T2789" i="1"/>
  <c r="T2791" i="1" s="1"/>
  <c r="K2789" i="1"/>
  <c r="G2789" i="1"/>
  <c r="L2788" i="1"/>
  <c r="L2789" i="1" s="1"/>
  <c r="L2790" i="1" s="1"/>
  <c r="L2791" i="1" s="1"/>
  <c r="L2792" i="1" s="1"/>
  <c r="G2788" i="1"/>
  <c r="K2788" i="1" s="1"/>
  <c r="L2787" i="1"/>
  <c r="G2787" i="1"/>
  <c r="K2787" i="1" s="1"/>
  <c r="L2786" i="1"/>
  <c r="E2786" i="1"/>
  <c r="K2785" i="1"/>
  <c r="G2785" i="1"/>
  <c r="G2784" i="1"/>
  <c r="K2784" i="1" s="1"/>
  <c r="K2783" i="1"/>
  <c r="G2783" i="1"/>
  <c r="G2782" i="1"/>
  <c r="K2782" i="1" s="1"/>
  <c r="K2781" i="1"/>
  <c r="G2781" i="1"/>
  <c r="L2780" i="1"/>
  <c r="L2781" i="1" s="1"/>
  <c r="L2782" i="1" s="1"/>
  <c r="L2783" i="1" s="1"/>
  <c r="L2784" i="1" s="1"/>
  <c r="L2785" i="1" s="1"/>
  <c r="O2779" i="1" s="1"/>
  <c r="G2780" i="1"/>
  <c r="K2780" i="1" s="1"/>
  <c r="L2779" i="1"/>
  <c r="G2779" i="1"/>
  <c r="K2779" i="1" s="1"/>
  <c r="L2778" i="1"/>
  <c r="E2778" i="1"/>
  <c r="K2777" i="1"/>
  <c r="G2777" i="1"/>
  <c r="G2776" i="1"/>
  <c r="K2776" i="1" s="1"/>
  <c r="K2775" i="1"/>
  <c r="G2775" i="1"/>
  <c r="G2774" i="1"/>
  <c r="K2774" i="1" s="1"/>
  <c r="K2773" i="1"/>
  <c r="G2773" i="1"/>
  <c r="L2772" i="1"/>
  <c r="L2773" i="1" s="1"/>
  <c r="L2774" i="1" s="1"/>
  <c r="L2775" i="1" s="1"/>
  <c r="L2776" i="1" s="1"/>
  <c r="L2777" i="1" s="1"/>
  <c r="O2770" i="1" s="1"/>
  <c r="G2772" i="1"/>
  <c r="K2772" i="1" s="1"/>
  <c r="K2771" i="1"/>
  <c r="G2771" i="1"/>
  <c r="K2770" i="1"/>
  <c r="G2770" i="1"/>
  <c r="L2769" i="1"/>
  <c r="L2770" i="1" s="1"/>
  <c r="L2771" i="1" s="1"/>
  <c r="E2769" i="1"/>
  <c r="G2768" i="1"/>
  <c r="K2768" i="1" s="1"/>
  <c r="K2767" i="1"/>
  <c r="G2767" i="1"/>
  <c r="G2766" i="1"/>
  <c r="K2766" i="1" s="1"/>
  <c r="G2765" i="1"/>
  <c r="K2765" i="1" s="1"/>
  <c r="G2764" i="1"/>
  <c r="K2764" i="1" s="1"/>
  <c r="T2763" i="1"/>
  <c r="T2765" i="1" s="1"/>
  <c r="K2763" i="1"/>
  <c r="G2763" i="1"/>
  <c r="L2762" i="1"/>
  <c r="L2763" i="1" s="1"/>
  <c r="E2762" i="1"/>
  <c r="G2761" i="1"/>
  <c r="K2761" i="1" s="1"/>
  <c r="K2760" i="1"/>
  <c r="G2760" i="1"/>
  <c r="G2759" i="1"/>
  <c r="K2759" i="1" s="1"/>
  <c r="K2758" i="1"/>
  <c r="G2758" i="1"/>
  <c r="G2757" i="1"/>
  <c r="K2757" i="1" s="1"/>
  <c r="K2756" i="1"/>
  <c r="G2756" i="1"/>
  <c r="X2755" i="1"/>
  <c r="K2755" i="1"/>
  <c r="G2755" i="1"/>
  <c r="X2754" i="1"/>
  <c r="K2754" i="1"/>
  <c r="G2754" i="1"/>
  <c r="G2753" i="1"/>
  <c r="K2753" i="1" s="1"/>
  <c r="G2752" i="1"/>
  <c r="K2751" i="1"/>
  <c r="G2751" i="1"/>
  <c r="G2750" i="1"/>
  <c r="K2750" i="1" s="1"/>
  <c r="K2749" i="1"/>
  <c r="G2749" i="1"/>
  <c r="G2748" i="1"/>
  <c r="K2748" i="1" s="1"/>
  <c r="K2747" i="1"/>
  <c r="G2747" i="1"/>
  <c r="G2746" i="1"/>
  <c r="K2746" i="1" s="1"/>
  <c r="K2745" i="1"/>
  <c r="G2745" i="1"/>
  <c r="G2744" i="1"/>
  <c r="K2744" i="1" s="1"/>
  <c r="K2743" i="1"/>
  <c r="G2743" i="1"/>
  <c r="K2742" i="1"/>
  <c r="G2742" i="1"/>
  <c r="L2741" i="1"/>
  <c r="L2742" i="1" s="1"/>
  <c r="L2743" i="1" s="1"/>
  <c r="L2744" i="1" s="1"/>
  <c r="L2745" i="1" s="1"/>
  <c r="L2746" i="1" s="1"/>
  <c r="L2747" i="1" s="1"/>
  <c r="L2748" i="1" s="1"/>
  <c r="L2749" i="1" s="1"/>
  <c r="L2750" i="1" s="1"/>
  <c r="L2751" i="1" s="1"/>
  <c r="L2752" i="1" s="1"/>
  <c r="L2753" i="1" s="1"/>
  <c r="L2754" i="1" s="1"/>
  <c r="L2755" i="1" s="1"/>
  <c r="L2756" i="1" s="1"/>
  <c r="L2757" i="1" s="1"/>
  <c r="L2758" i="1" s="1"/>
  <c r="L2759" i="1" s="1"/>
  <c r="L2760" i="1" s="1"/>
  <c r="L2761" i="1" s="1"/>
  <c r="O2741" i="1" s="1"/>
  <c r="G2741" i="1"/>
  <c r="K2741" i="1" s="1"/>
  <c r="L2740" i="1"/>
  <c r="E2740" i="1"/>
  <c r="K2739" i="1"/>
  <c r="G2739" i="1"/>
  <c r="G2738" i="1"/>
  <c r="K2738" i="1" s="1"/>
  <c r="G2737" i="1"/>
  <c r="K2737" i="1" s="1"/>
  <c r="G2736" i="1"/>
  <c r="K2736" i="1" s="1"/>
  <c r="K2735" i="1"/>
  <c r="G2735" i="1"/>
  <c r="G2734" i="1"/>
  <c r="K2734" i="1" s="1"/>
  <c r="G2733" i="1"/>
  <c r="K2733" i="1" s="1"/>
  <c r="K2732" i="1"/>
  <c r="G2732" i="1"/>
  <c r="L2731" i="1"/>
  <c r="L2732" i="1" s="1"/>
  <c r="L2733" i="1" s="1"/>
  <c r="L2734" i="1" s="1"/>
  <c r="L2735" i="1" s="1"/>
  <c r="L2736" i="1" s="1"/>
  <c r="L2737" i="1" s="1"/>
  <c r="L2738" i="1" s="1"/>
  <c r="L2739" i="1" s="1"/>
  <c r="O2732" i="1" s="1"/>
  <c r="E2731" i="1"/>
  <c r="G2730" i="1"/>
  <c r="K2730" i="1" s="1"/>
  <c r="G2729" i="1"/>
  <c r="K2729" i="1" s="1"/>
  <c r="G2728" i="1"/>
  <c r="K2728" i="1" s="1"/>
  <c r="K2727" i="1"/>
  <c r="G2727" i="1"/>
  <c r="G2726" i="1"/>
  <c r="K2726" i="1" s="1"/>
  <c r="G2725" i="1"/>
  <c r="K2725" i="1" s="1"/>
  <c r="G2724" i="1"/>
  <c r="K2724" i="1" s="1"/>
  <c r="K2723" i="1"/>
  <c r="G2723" i="1"/>
  <c r="K2722" i="1"/>
  <c r="G2722" i="1"/>
  <c r="L2721" i="1"/>
  <c r="L2722" i="1" s="1"/>
  <c r="L2723" i="1" s="1"/>
  <c r="L2724" i="1" s="1"/>
  <c r="L2725" i="1" s="1"/>
  <c r="L2726" i="1" s="1"/>
  <c r="L2727" i="1" s="1"/>
  <c r="L2728" i="1" s="1"/>
  <c r="L2729" i="1" s="1"/>
  <c r="L2730" i="1" s="1"/>
  <c r="O2722" i="1" s="1"/>
  <c r="E2721" i="1"/>
  <c r="G2720" i="1"/>
  <c r="K2720" i="1" s="1"/>
  <c r="K2719" i="1"/>
  <c r="G2719" i="1"/>
  <c r="K2718" i="1"/>
  <c r="G2718" i="1"/>
  <c r="K2717" i="1"/>
  <c r="G2717" i="1"/>
  <c r="G2716" i="1"/>
  <c r="K2716" i="1" s="1"/>
  <c r="K2715" i="1"/>
  <c r="G2715" i="1"/>
  <c r="K2714" i="1"/>
  <c r="G2714" i="1"/>
  <c r="K2713" i="1"/>
  <c r="G2713" i="1"/>
  <c r="G2712" i="1"/>
  <c r="K2712" i="1" s="1"/>
  <c r="L2711" i="1"/>
  <c r="E2711" i="1"/>
  <c r="K2710" i="1"/>
  <c r="G2710" i="1"/>
  <c r="K2709" i="1"/>
  <c r="G2709" i="1"/>
  <c r="G2708" i="1"/>
  <c r="K2708" i="1" s="1"/>
  <c r="K2707" i="1"/>
  <c r="G2707" i="1"/>
  <c r="K2706" i="1"/>
  <c r="G2706" i="1"/>
  <c r="K2705" i="1"/>
  <c r="G2705" i="1"/>
  <c r="G2704" i="1"/>
  <c r="K2704" i="1" s="1"/>
  <c r="K2703" i="1"/>
  <c r="G2703" i="1"/>
  <c r="L2702" i="1"/>
  <c r="L2703" i="1" s="1"/>
  <c r="L2704" i="1" s="1"/>
  <c r="L2705" i="1" s="1"/>
  <c r="L2706" i="1" s="1"/>
  <c r="L2707" i="1" s="1"/>
  <c r="L2708" i="1" s="1"/>
  <c r="L2709" i="1" s="1"/>
  <c r="L2710" i="1" s="1"/>
  <c r="O2702" i="1" s="1"/>
  <c r="K2702" i="1"/>
  <c r="G2702" i="1"/>
  <c r="L2701" i="1"/>
  <c r="E2701" i="1"/>
  <c r="K2699" i="1"/>
  <c r="G2699" i="1"/>
  <c r="G2698" i="1"/>
  <c r="K2698" i="1" s="1"/>
  <c r="X2697" i="1"/>
  <c r="G2697" i="1"/>
  <c r="K2697" i="1" s="1"/>
  <c r="G2696" i="1"/>
  <c r="G2695" i="1"/>
  <c r="K2694" i="1"/>
  <c r="G2694" i="1"/>
  <c r="G2693" i="1"/>
  <c r="K2693" i="1" s="1"/>
  <c r="K2692" i="1"/>
  <c r="G2692" i="1"/>
  <c r="G2691" i="1"/>
  <c r="K2691" i="1" s="1"/>
  <c r="K2690" i="1"/>
  <c r="G2690" i="1"/>
  <c r="G2689" i="1"/>
  <c r="K2689" i="1" s="1"/>
  <c r="K2688" i="1"/>
  <c r="G2688" i="1"/>
  <c r="G2687" i="1"/>
  <c r="K2687" i="1" s="1"/>
  <c r="K2686" i="1"/>
  <c r="G2686" i="1"/>
  <c r="G2685" i="1"/>
  <c r="K2685" i="1" s="1"/>
  <c r="K2684" i="1"/>
  <c r="G2684" i="1"/>
  <c r="G2683" i="1"/>
  <c r="K2683" i="1" s="1"/>
  <c r="K2682" i="1"/>
  <c r="G2682" i="1"/>
  <c r="G2681" i="1"/>
  <c r="K2681" i="1" s="1"/>
  <c r="K2680" i="1"/>
  <c r="G2680" i="1"/>
  <c r="G2679" i="1"/>
  <c r="K2679" i="1" s="1"/>
  <c r="L2678" i="1"/>
  <c r="L2679" i="1" s="1"/>
  <c r="L2680" i="1" s="1"/>
  <c r="L2681" i="1" s="1"/>
  <c r="L2682" i="1" s="1"/>
  <c r="L2683" i="1" s="1"/>
  <c r="L2684" i="1" s="1"/>
  <c r="L2685" i="1" s="1"/>
  <c r="L2686" i="1" s="1"/>
  <c r="L2687" i="1" s="1"/>
  <c r="L2688" i="1" s="1"/>
  <c r="L2689" i="1" s="1"/>
  <c r="L2690" i="1" s="1"/>
  <c r="L2691" i="1" s="1"/>
  <c r="L2692" i="1" s="1"/>
  <c r="L2693" i="1" s="1"/>
  <c r="L2694" i="1" s="1"/>
  <c r="L2695" i="1" s="1"/>
  <c r="L2696" i="1" s="1"/>
  <c r="L2697" i="1" s="1"/>
  <c r="L2698" i="1" s="1"/>
  <c r="L2699" i="1" s="1"/>
  <c r="L2700" i="1" s="1"/>
  <c r="O2678" i="1" s="1"/>
  <c r="G2678" i="1"/>
  <c r="K2678" i="1" s="1"/>
  <c r="L2677" i="1"/>
  <c r="E2677" i="1"/>
  <c r="D2677" i="1"/>
  <c r="G2676" i="1"/>
  <c r="K2676" i="1" s="1"/>
  <c r="K2675" i="1"/>
  <c r="G2675" i="1"/>
  <c r="G2674" i="1"/>
  <c r="K2674" i="1" s="1"/>
  <c r="K2673" i="1"/>
  <c r="G2673" i="1"/>
  <c r="G2672" i="1"/>
  <c r="K2672" i="1" s="1"/>
  <c r="K2671" i="1"/>
  <c r="G2671" i="1"/>
  <c r="G2670" i="1"/>
  <c r="K2670" i="1" s="1"/>
  <c r="K2669" i="1"/>
  <c r="G2669" i="1"/>
  <c r="K2668" i="1"/>
  <c r="G2668" i="1"/>
  <c r="L2667" i="1"/>
  <c r="L2668" i="1" s="1"/>
  <c r="L2669" i="1" s="1"/>
  <c r="L2670" i="1" s="1"/>
  <c r="L2671" i="1" s="1"/>
  <c r="L2672" i="1" s="1"/>
  <c r="L2673" i="1" s="1"/>
  <c r="L2674" i="1" s="1"/>
  <c r="L2675" i="1" s="1"/>
  <c r="L2676" i="1" s="1"/>
  <c r="O2668" i="1" s="1"/>
  <c r="E2667" i="1"/>
  <c r="G2666" i="1"/>
  <c r="G2665" i="1"/>
  <c r="K2665" i="1" s="1"/>
  <c r="K2664" i="1"/>
  <c r="G2664" i="1"/>
  <c r="G2663" i="1"/>
  <c r="K2663" i="1" s="1"/>
  <c r="K2662" i="1"/>
  <c r="G2662" i="1"/>
  <c r="G2661" i="1"/>
  <c r="K2661" i="1" s="1"/>
  <c r="K2660" i="1"/>
  <c r="G2660" i="1"/>
  <c r="L2659" i="1"/>
  <c r="L2660" i="1" s="1"/>
  <c r="L2661" i="1" s="1"/>
  <c r="L2662" i="1" s="1"/>
  <c r="L2663" i="1" s="1"/>
  <c r="L2664" i="1" s="1"/>
  <c r="L2665" i="1" s="1"/>
  <c r="L2666" i="1" s="1"/>
  <c r="O2657" i="1" s="1"/>
  <c r="G2659" i="1"/>
  <c r="K2659" i="1" s="1"/>
  <c r="K2658" i="1"/>
  <c r="G2658" i="1"/>
  <c r="K2657" i="1"/>
  <c r="G2657" i="1"/>
  <c r="L2656" i="1"/>
  <c r="L2657" i="1" s="1"/>
  <c r="L2658" i="1" s="1"/>
  <c r="E2656" i="1"/>
  <c r="K2655" i="1"/>
  <c r="G2655" i="1"/>
  <c r="L2654" i="1"/>
  <c r="L2655" i="1" s="1"/>
  <c r="O2655" i="1" s="1"/>
  <c r="E2654" i="1"/>
  <c r="K2653" i="1"/>
  <c r="K2652" i="1"/>
  <c r="K2651" i="1"/>
  <c r="K2650" i="1"/>
  <c r="G2649" i="1"/>
  <c r="K2649" i="1" s="1"/>
  <c r="K2648" i="1"/>
  <c r="G2648" i="1"/>
  <c r="L2647" i="1"/>
  <c r="L2648" i="1" s="1"/>
  <c r="L2649" i="1" s="1"/>
  <c r="L2650" i="1" s="1"/>
  <c r="L2651" i="1" s="1"/>
  <c r="L2652" i="1" s="1"/>
  <c r="L2653" i="1" s="1"/>
  <c r="O2645" i="1" s="1"/>
  <c r="G2647" i="1"/>
  <c r="K2647" i="1" s="1"/>
  <c r="S2646" i="1"/>
  <c r="R2646" i="1"/>
  <c r="K2646" i="1"/>
  <c r="G2646" i="1"/>
  <c r="K2645" i="1"/>
  <c r="G2645" i="1"/>
  <c r="L2644" i="1"/>
  <c r="L2645" i="1" s="1"/>
  <c r="L2646" i="1" s="1"/>
  <c r="E2644" i="1"/>
  <c r="G2643" i="1"/>
  <c r="K2643" i="1" s="1"/>
  <c r="K2642" i="1"/>
  <c r="G2642" i="1"/>
  <c r="G2641" i="1"/>
  <c r="K2641" i="1" s="1"/>
  <c r="K2640" i="1"/>
  <c r="G2640" i="1"/>
  <c r="G2639" i="1"/>
  <c r="K2639" i="1" s="1"/>
  <c r="K2638" i="1"/>
  <c r="G2638" i="1"/>
  <c r="G2637" i="1"/>
  <c r="K2637" i="1" s="1"/>
  <c r="K2636" i="1"/>
  <c r="G2636" i="1"/>
  <c r="G2635" i="1"/>
  <c r="K2635" i="1" s="1"/>
  <c r="G2634" i="1"/>
  <c r="K2634" i="1" s="1"/>
  <c r="L2633" i="1"/>
  <c r="E2633" i="1"/>
  <c r="K2632" i="1"/>
  <c r="G2632" i="1"/>
  <c r="G2631" i="1"/>
  <c r="K2631" i="1" s="1"/>
  <c r="K2630" i="1"/>
  <c r="G2630" i="1"/>
  <c r="G2629" i="1"/>
  <c r="K2629" i="1" s="1"/>
  <c r="K2628" i="1"/>
  <c r="G2628" i="1"/>
  <c r="G2627" i="1"/>
  <c r="K2627" i="1" s="1"/>
  <c r="K2626" i="1"/>
  <c r="G2626" i="1"/>
  <c r="G2625" i="1"/>
  <c r="K2625" i="1" s="1"/>
  <c r="K2624" i="1"/>
  <c r="G2624" i="1"/>
  <c r="G2623" i="1"/>
  <c r="K2623" i="1" s="1"/>
  <c r="K2622" i="1"/>
  <c r="G2622" i="1"/>
  <c r="R2621" i="1"/>
  <c r="L2621" i="1"/>
  <c r="L2622" i="1" s="1"/>
  <c r="L2623" i="1" s="1"/>
  <c r="L2624" i="1" s="1"/>
  <c r="L2625" i="1" s="1"/>
  <c r="L2626" i="1" s="1"/>
  <c r="L2627" i="1" s="1"/>
  <c r="L2628" i="1" s="1"/>
  <c r="L2629" i="1" s="1"/>
  <c r="L2630" i="1" s="1"/>
  <c r="L2631" i="1" s="1"/>
  <c r="L2632" i="1" s="1"/>
  <c r="O2621" i="1" s="1"/>
  <c r="G2621" i="1"/>
  <c r="K2621" i="1" s="1"/>
  <c r="L2620" i="1"/>
  <c r="E2620" i="1"/>
  <c r="K2619" i="1"/>
  <c r="G2619" i="1"/>
  <c r="G2618" i="1"/>
  <c r="K2618" i="1" s="1"/>
  <c r="K2617" i="1"/>
  <c r="G2617" i="1"/>
  <c r="G2616" i="1"/>
  <c r="K2616" i="1" s="1"/>
  <c r="K2615" i="1"/>
  <c r="G2615" i="1"/>
  <c r="G2614" i="1"/>
  <c r="K2614" i="1" s="1"/>
  <c r="K2613" i="1"/>
  <c r="G2613" i="1"/>
  <c r="G2612" i="1"/>
  <c r="K2612" i="1" s="1"/>
  <c r="K2611" i="1"/>
  <c r="G2611" i="1"/>
  <c r="L2610" i="1"/>
  <c r="L2611" i="1" s="1"/>
  <c r="L2612" i="1" s="1"/>
  <c r="L2613" i="1" s="1"/>
  <c r="L2614" i="1" s="1"/>
  <c r="L2615" i="1" s="1"/>
  <c r="L2616" i="1" s="1"/>
  <c r="L2617" i="1" s="1"/>
  <c r="L2618" i="1" s="1"/>
  <c r="L2619" i="1" s="1"/>
  <c r="O2608" i="1" s="1"/>
  <c r="G2610" i="1"/>
  <c r="K2610" i="1" s="1"/>
  <c r="K2609" i="1"/>
  <c r="G2609" i="1"/>
  <c r="K2608" i="1"/>
  <c r="G2608" i="1"/>
  <c r="L2607" i="1"/>
  <c r="L2608" i="1" s="1"/>
  <c r="L2609" i="1" s="1"/>
  <c r="E2607" i="1"/>
  <c r="K2606" i="1"/>
  <c r="G2605" i="1"/>
  <c r="K2605" i="1" s="1"/>
  <c r="K2604" i="1"/>
  <c r="G2604" i="1"/>
  <c r="G2603" i="1"/>
  <c r="K2603" i="1" s="1"/>
  <c r="K2602" i="1"/>
  <c r="G2602" i="1"/>
  <c r="G2601" i="1"/>
  <c r="K2601" i="1" s="1"/>
  <c r="K2600" i="1"/>
  <c r="G2600" i="1"/>
  <c r="G2599" i="1"/>
  <c r="K2599" i="1" s="1"/>
  <c r="G2598" i="1"/>
  <c r="K2598" i="1" s="1"/>
  <c r="L2597" i="1"/>
  <c r="E2597" i="1"/>
  <c r="K2596" i="1"/>
  <c r="G2596" i="1"/>
  <c r="K2595" i="1"/>
  <c r="G2595" i="1"/>
  <c r="T2594" i="1"/>
  <c r="K2594" i="1"/>
  <c r="G2594" i="1"/>
  <c r="T2593" i="1"/>
  <c r="T2595" i="1" s="1"/>
  <c r="K2593" i="1"/>
  <c r="G2593" i="1"/>
  <c r="G2592" i="1"/>
  <c r="K2592" i="1" s="1"/>
  <c r="K2591" i="1"/>
  <c r="G2591" i="1"/>
  <c r="L2590" i="1"/>
  <c r="L2591" i="1" s="1"/>
  <c r="L2592" i="1" s="1"/>
  <c r="L2593" i="1" s="1"/>
  <c r="L2594" i="1" s="1"/>
  <c r="L2595" i="1" s="1"/>
  <c r="L2596" i="1" s="1"/>
  <c r="O2587" i="1" s="1"/>
  <c r="G2590" i="1"/>
  <c r="K2590" i="1" s="1"/>
  <c r="G2589" i="1"/>
  <c r="K2589" i="1" s="1"/>
  <c r="L2588" i="1"/>
  <c r="L2589" i="1" s="1"/>
  <c r="G2588" i="1"/>
  <c r="K2588" i="1" s="1"/>
  <c r="T2587" i="1"/>
  <c r="T2589" i="1" s="1"/>
  <c r="K2587" i="1"/>
  <c r="G2587" i="1"/>
  <c r="L2586" i="1"/>
  <c r="L2587" i="1" s="1"/>
  <c r="E2586" i="1"/>
  <c r="G2585" i="1"/>
  <c r="K2585" i="1" s="1"/>
  <c r="K2584" i="1"/>
  <c r="G2584" i="1"/>
  <c r="G2583" i="1"/>
  <c r="K2583" i="1" s="1"/>
  <c r="K2582" i="1"/>
  <c r="G2582" i="1"/>
  <c r="G2581" i="1"/>
  <c r="K2581" i="1" s="1"/>
  <c r="K2580" i="1"/>
  <c r="G2580" i="1"/>
  <c r="G2579" i="1"/>
  <c r="K2579" i="1" s="1"/>
  <c r="K2578" i="1"/>
  <c r="G2578" i="1"/>
  <c r="L2577" i="1"/>
  <c r="L2578" i="1" s="1"/>
  <c r="L2579" i="1" s="1"/>
  <c r="L2580" i="1" s="1"/>
  <c r="L2581" i="1" s="1"/>
  <c r="L2582" i="1" s="1"/>
  <c r="L2583" i="1" s="1"/>
  <c r="L2584" i="1" s="1"/>
  <c r="L2585" i="1" s="1"/>
  <c r="O2576" i="1" s="1"/>
  <c r="G2577" i="1"/>
  <c r="K2577" i="1" s="1"/>
  <c r="L2576" i="1"/>
  <c r="G2576" i="1"/>
  <c r="K2576" i="1" s="1"/>
  <c r="L2575" i="1"/>
  <c r="E2575" i="1"/>
  <c r="K2574" i="1"/>
  <c r="G2574" i="1"/>
  <c r="G2573" i="1"/>
  <c r="K2573" i="1" s="1"/>
  <c r="K2572" i="1"/>
  <c r="G2572" i="1"/>
  <c r="G2571" i="1"/>
  <c r="K2571" i="1" s="1"/>
  <c r="K2570" i="1"/>
  <c r="G2570" i="1"/>
  <c r="G2569" i="1"/>
  <c r="K2569" i="1" s="1"/>
  <c r="K2568" i="1"/>
  <c r="G2568" i="1"/>
  <c r="G2567" i="1"/>
  <c r="K2567" i="1" s="1"/>
  <c r="K2566" i="1"/>
  <c r="G2566" i="1"/>
  <c r="L2565" i="1"/>
  <c r="L2566" i="1" s="1"/>
  <c r="L2567" i="1" s="1"/>
  <c r="L2568" i="1" s="1"/>
  <c r="L2569" i="1" s="1"/>
  <c r="L2570" i="1" s="1"/>
  <c r="L2571" i="1" s="1"/>
  <c r="L2572" i="1" s="1"/>
  <c r="L2573" i="1" s="1"/>
  <c r="L2574" i="1" s="1"/>
  <c r="O2563" i="1" s="1"/>
  <c r="G2565" i="1"/>
  <c r="K2565" i="1" s="1"/>
  <c r="K2564" i="1"/>
  <c r="G2564" i="1"/>
  <c r="K2563" i="1"/>
  <c r="G2563" i="1"/>
  <c r="L2562" i="1"/>
  <c r="L2563" i="1" s="1"/>
  <c r="L2564" i="1" s="1"/>
  <c r="E2562" i="1"/>
  <c r="G2561" i="1"/>
  <c r="K2561" i="1" s="1"/>
  <c r="K2560" i="1"/>
  <c r="G2560" i="1"/>
  <c r="G2559" i="1"/>
  <c r="K2559" i="1" s="1"/>
  <c r="K2558" i="1"/>
  <c r="G2558" i="1"/>
  <c r="G2557" i="1"/>
  <c r="K2557" i="1" s="1"/>
  <c r="K2556" i="1"/>
  <c r="G2556" i="1"/>
  <c r="G2555" i="1"/>
  <c r="K2555" i="1" s="1"/>
  <c r="K2554" i="1"/>
  <c r="G2554" i="1"/>
  <c r="G2553" i="1"/>
  <c r="K2553" i="1" s="1"/>
  <c r="K2552" i="1"/>
  <c r="G2552" i="1"/>
  <c r="G2551" i="1"/>
  <c r="K2551" i="1" s="1"/>
  <c r="G2550" i="1"/>
  <c r="L2549" i="1"/>
  <c r="E2549" i="1"/>
  <c r="K2548" i="1"/>
  <c r="G2548" i="1"/>
  <c r="G2547" i="1"/>
  <c r="K2547" i="1" s="1"/>
  <c r="K2546" i="1"/>
  <c r="G2546" i="1"/>
  <c r="G2545" i="1"/>
  <c r="K2545" i="1" s="1"/>
  <c r="K2544" i="1"/>
  <c r="G2544" i="1"/>
  <c r="G2543" i="1"/>
  <c r="K2543" i="1" s="1"/>
  <c r="K2542" i="1"/>
  <c r="G2542" i="1"/>
  <c r="G2541" i="1"/>
  <c r="K2541" i="1" s="1"/>
  <c r="K2540" i="1"/>
  <c r="G2540" i="1"/>
  <c r="K2539" i="1"/>
  <c r="G2539" i="1"/>
  <c r="K2538" i="1"/>
  <c r="G2538" i="1"/>
  <c r="K2537" i="1"/>
  <c r="G2537" i="1"/>
  <c r="K2536" i="1"/>
  <c r="G2536" i="1"/>
  <c r="L2535" i="1"/>
  <c r="L2536" i="1" s="1"/>
  <c r="L2537" i="1" s="1"/>
  <c r="L2538" i="1" s="1"/>
  <c r="L2539" i="1" s="1"/>
  <c r="L2540" i="1" s="1"/>
  <c r="L2541" i="1" s="1"/>
  <c r="L2542" i="1" s="1"/>
  <c r="L2543" i="1" s="1"/>
  <c r="L2544" i="1" s="1"/>
  <c r="L2545" i="1" s="1"/>
  <c r="L2546" i="1" s="1"/>
  <c r="L2547" i="1" s="1"/>
  <c r="L2548" i="1" s="1"/>
  <c r="O2536" i="1" s="1"/>
  <c r="E2535" i="1"/>
  <c r="G2534" i="1"/>
  <c r="K2534" i="1" s="1"/>
  <c r="K2533" i="1"/>
  <c r="G2533" i="1"/>
  <c r="G2532" i="1"/>
  <c r="K2532" i="1" s="1"/>
  <c r="K2531" i="1"/>
  <c r="G2531" i="1"/>
  <c r="G2530" i="1"/>
  <c r="K2530" i="1" s="1"/>
  <c r="K2529" i="1"/>
  <c r="G2529" i="1"/>
  <c r="G2528" i="1"/>
  <c r="K2528" i="1" s="1"/>
  <c r="K2527" i="1"/>
  <c r="G2527" i="1"/>
  <c r="G2526" i="1"/>
  <c r="K2526" i="1" s="1"/>
  <c r="K2525" i="1"/>
  <c r="G2525" i="1"/>
  <c r="G2524" i="1"/>
  <c r="K2524" i="1" s="1"/>
  <c r="K2523" i="1"/>
  <c r="G2523" i="1"/>
  <c r="K2522" i="1"/>
  <c r="G2522" i="1"/>
  <c r="L2521" i="1"/>
  <c r="L2522" i="1" s="1"/>
  <c r="L2523" i="1" s="1"/>
  <c r="E2521" i="1"/>
  <c r="G2520" i="1"/>
  <c r="K2520" i="1" s="1"/>
  <c r="K2519" i="1"/>
  <c r="G2519" i="1"/>
  <c r="G2518" i="1"/>
  <c r="K2518" i="1" s="1"/>
  <c r="K2517" i="1"/>
  <c r="G2517" i="1"/>
  <c r="G2516" i="1"/>
  <c r="K2516" i="1" s="1"/>
  <c r="K2515" i="1"/>
  <c r="G2515" i="1"/>
  <c r="G2514" i="1"/>
  <c r="K2514" i="1" s="1"/>
  <c r="K2513" i="1"/>
  <c r="G2513" i="1"/>
  <c r="G2512" i="1"/>
  <c r="K2512" i="1" s="1"/>
  <c r="K2511" i="1"/>
  <c r="G2511" i="1"/>
  <c r="L2510" i="1"/>
  <c r="L2511" i="1" s="1"/>
  <c r="L2512" i="1" s="1"/>
  <c r="L2513" i="1" s="1"/>
  <c r="L2514" i="1" s="1"/>
  <c r="L2515" i="1" s="1"/>
  <c r="L2516" i="1" s="1"/>
  <c r="L2517" i="1" s="1"/>
  <c r="L2518" i="1" s="1"/>
  <c r="L2519" i="1" s="1"/>
  <c r="L2520" i="1" s="1"/>
  <c r="O2508" i="1" s="1"/>
  <c r="G2510" i="1"/>
  <c r="K2510" i="1" s="1"/>
  <c r="K2509" i="1"/>
  <c r="G2509" i="1"/>
  <c r="K2508" i="1"/>
  <c r="G2508" i="1"/>
  <c r="L2507" i="1"/>
  <c r="L2508" i="1" s="1"/>
  <c r="L2509" i="1" s="1"/>
  <c r="E2507" i="1"/>
  <c r="G2506" i="1"/>
  <c r="K2506" i="1" s="1"/>
  <c r="K2505" i="1"/>
  <c r="G2505" i="1"/>
  <c r="G2504" i="1"/>
  <c r="K2504" i="1" s="1"/>
  <c r="K2503" i="1"/>
  <c r="G2503" i="1"/>
  <c r="G2502" i="1"/>
  <c r="K2502" i="1" s="1"/>
  <c r="K2501" i="1"/>
  <c r="G2501" i="1"/>
  <c r="G2500" i="1"/>
  <c r="K2500" i="1" s="1"/>
  <c r="K2499" i="1"/>
  <c r="G2499" i="1"/>
  <c r="G2498" i="1"/>
  <c r="K2498" i="1" s="1"/>
  <c r="K2497" i="1"/>
  <c r="G2497" i="1"/>
  <c r="G2496" i="1"/>
  <c r="K2496" i="1" s="1"/>
  <c r="K2495" i="1"/>
  <c r="G2495" i="1"/>
  <c r="K2494" i="1"/>
  <c r="G2494" i="1"/>
  <c r="L2493" i="1"/>
  <c r="L2494" i="1" s="1"/>
  <c r="L2495" i="1" s="1"/>
  <c r="L2496" i="1" s="1"/>
  <c r="L2497" i="1" s="1"/>
  <c r="L2498" i="1" s="1"/>
  <c r="L2499" i="1" s="1"/>
  <c r="L2500" i="1" s="1"/>
  <c r="L2501" i="1" s="1"/>
  <c r="L2502" i="1" s="1"/>
  <c r="L2503" i="1" s="1"/>
  <c r="L2504" i="1" s="1"/>
  <c r="L2505" i="1" s="1"/>
  <c r="L2506" i="1" s="1"/>
  <c r="O2494" i="1" s="1"/>
  <c r="E2493" i="1"/>
  <c r="G2492" i="1"/>
  <c r="K2492" i="1" s="1"/>
  <c r="K2491" i="1"/>
  <c r="G2491" i="1"/>
  <c r="G2490" i="1"/>
  <c r="K2490" i="1" s="1"/>
  <c r="K2489" i="1"/>
  <c r="G2489" i="1"/>
  <c r="G2488" i="1"/>
  <c r="K2488" i="1" s="1"/>
  <c r="K2487" i="1"/>
  <c r="G2487" i="1"/>
  <c r="G2486" i="1"/>
  <c r="K2486" i="1" s="1"/>
  <c r="K2485" i="1"/>
  <c r="G2485" i="1"/>
  <c r="G2484" i="1"/>
  <c r="K2484" i="1" s="1"/>
  <c r="K2483" i="1"/>
  <c r="G2483" i="1"/>
  <c r="G2482" i="1"/>
  <c r="K2482" i="1" s="1"/>
  <c r="L2481" i="1"/>
  <c r="L2482" i="1" s="1"/>
  <c r="L2483" i="1" s="1"/>
  <c r="L2484" i="1" s="1"/>
  <c r="L2485" i="1" s="1"/>
  <c r="L2486" i="1" s="1"/>
  <c r="L2487" i="1" s="1"/>
  <c r="L2488" i="1" s="1"/>
  <c r="L2489" i="1" s="1"/>
  <c r="L2490" i="1" s="1"/>
  <c r="L2491" i="1" s="1"/>
  <c r="L2492" i="1" s="1"/>
  <c r="O2481" i="1" s="1"/>
  <c r="G2481" i="1"/>
  <c r="K2481" i="1" s="1"/>
  <c r="L2480" i="1"/>
  <c r="E2480" i="1"/>
  <c r="K2479" i="1"/>
  <c r="G2479" i="1"/>
  <c r="G2478" i="1"/>
  <c r="K2478" i="1" s="1"/>
  <c r="K2477" i="1"/>
  <c r="G2477" i="1"/>
  <c r="G2476" i="1"/>
  <c r="K2476" i="1" s="1"/>
  <c r="K2475" i="1"/>
  <c r="G2475" i="1"/>
  <c r="G2474" i="1"/>
  <c r="K2474" i="1" s="1"/>
  <c r="K2473" i="1"/>
  <c r="G2473" i="1"/>
  <c r="G2472" i="1"/>
  <c r="K2472" i="1" s="1"/>
  <c r="K2471" i="1"/>
  <c r="G2471" i="1"/>
  <c r="G2470" i="1"/>
  <c r="K2470" i="1" s="1"/>
  <c r="K2469" i="1"/>
  <c r="G2469" i="1"/>
  <c r="G2468" i="1"/>
  <c r="K2468" i="1" s="1"/>
  <c r="L2467" i="1"/>
  <c r="L2468" i="1" s="1"/>
  <c r="L2469" i="1" s="1"/>
  <c r="L2470" i="1" s="1"/>
  <c r="L2471" i="1" s="1"/>
  <c r="L2472" i="1" s="1"/>
  <c r="L2473" i="1" s="1"/>
  <c r="L2474" i="1" s="1"/>
  <c r="L2475" i="1" s="1"/>
  <c r="L2476" i="1" s="1"/>
  <c r="L2477" i="1" s="1"/>
  <c r="L2478" i="1" s="1"/>
  <c r="L2479" i="1" s="1"/>
  <c r="O2467" i="1" s="1"/>
  <c r="G2467" i="1"/>
  <c r="K2467" i="1" s="1"/>
  <c r="L2466" i="1"/>
  <c r="E2466" i="1"/>
  <c r="K2465" i="1"/>
  <c r="G2465" i="1"/>
  <c r="G2464" i="1"/>
  <c r="K2464" i="1" s="1"/>
  <c r="K2463" i="1"/>
  <c r="G2463" i="1"/>
  <c r="G2462" i="1"/>
  <c r="K2462" i="1" s="1"/>
  <c r="K2461" i="1"/>
  <c r="G2461" i="1"/>
  <c r="G2460" i="1"/>
  <c r="K2460" i="1" s="1"/>
  <c r="K2459" i="1"/>
  <c r="G2459" i="1"/>
  <c r="G2458" i="1"/>
  <c r="K2458" i="1" s="1"/>
  <c r="K2457" i="1"/>
  <c r="G2457" i="1"/>
  <c r="G2456" i="1"/>
  <c r="K2456" i="1" s="1"/>
  <c r="L2455" i="1"/>
  <c r="L2456" i="1" s="1"/>
  <c r="L2457" i="1" s="1"/>
  <c r="L2458" i="1" s="1"/>
  <c r="L2459" i="1" s="1"/>
  <c r="L2460" i="1" s="1"/>
  <c r="L2461" i="1" s="1"/>
  <c r="L2462" i="1" s="1"/>
  <c r="L2463" i="1" s="1"/>
  <c r="L2464" i="1" s="1"/>
  <c r="L2465" i="1" s="1"/>
  <c r="O2455" i="1" s="1"/>
  <c r="G2455" i="1"/>
  <c r="K2455" i="1" s="1"/>
  <c r="L2454" i="1"/>
  <c r="E2454" i="1"/>
  <c r="K2453" i="1"/>
  <c r="G2453" i="1"/>
  <c r="G2452" i="1"/>
  <c r="K2452" i="1" s="1"/>
  <c r="K2451" i="1"/>
  <c r="G2451" i="1"/>
  <c r="G2450" i="1"/>
  <c r="K2450" i="1" s="1"/>
  <c r="K2449" i="1"/>
  <c r="G2449" i="1"/>
  <c r="G2448" i="1"/>
  <c r="K2448" i="1" s="1"/>
  <c r="K2447" i="1"/>
  <c r="G2447" i="1"/>
  <c r="G2446" i="1"/>
  <c r="K2446" i="1" s="1"/>
  <c r="K2445" i="1"/>
  <c r="G2445" i="1"/>
  <c r="G2444" i="1"/>
  <c r="K2444" i="1" s="1"/>
  <c r="K2443" i="1"/>
  <c r="G2443" i="1"/>
  <c r="G2442" i="1"/>
  <c r="K2442" i="1" s="1"/>
  <c r="L2441" i="1"/>
  <c r="L2442" i="1" s="1"/>
  <c r="L2443" i="1" s="1"/>
  <c r="L2444" i="1" s="1"/>
  <c r="L2445" i="1" s="1"/>
  <c r="L2446" i="1" s="1"/>
  <c r="L2447" i="1" s="1"/>
  <c r="L2448" i="1" s="1"/>
  <c r="L2449" i="1" s="1"/>
  <c r="L2450" i="1" s="1"/>
  <c r="L2451" i="1" s="1"/>
  <c r="L2452" i="1" s="1"/>
  <c r="L2453" i="1" s="1"/>
  <c r="O2441" i="1" s="1"/>
  <c r="G2441" i="1"/>
  <c r="K2441" i="1" s="1"/>
  <c r="L2440" i="1"/>
  <c r="E2440" i="1"/>
  <c r="K2439" i="1"/>
  <c r="G2439" i="1"/>
  <c r="G2438" i="1"/>
  <c r="K2438" i="1" s="1"/>
  <c r="K2437" i="1"/>
  <c r="G2437" i="1"/>
  <c r="G2436" i="1"/>
  <c r="K2436" i="1" s="1"/>
  <c r="K2435" i="1"/>
  <c r="G2435" i="1"/>
  <c r="G2434" i="1"/>
  <c r="K2434" i="1" s="1"/>
  <c r="K2433" i="1"/>
  <c r="G2433" i="1"/>
  <c r="G2432" i="1"/>
  <c r="K2432" i="1" s="1"/>
  <c r="K2431" i="1"/>
  <c r="G2431" i="1"/>
  <c r="G2430" i="1"/>
  <c r="K2430" i="1" s="1"/>
  <c r="K2429" i="1"/>
  <c r="G2429" i="1"/>
  <c r="G2428" i="1"/>
  <c r="K2428" i="1" s="1"/>
  <c r="L2427" i="1"/>
  <c r="L2428" i="1" s="1"/>
  <c r="L2429" i="1" s="1"/>
  <c r="L2430" i="1" s="1"/>
  <c r="L2431" i="1" s="1"/>
  <c r="L2432" i="1" s="1"/>
  <c r="L2433" i="1" s="1"/>
  <c r="L2434" i="1" s="1"/>
  <c r="L2435" i="1" s="1"/>
  <c r="L2436" i="1" s="1"/>
  <c r="L2437" i="1" s="1"/>
  <c r="L2438" i="1" s="1"/>
  <c r="L2439" i="1" s="1"/>
  <c r="O2427" i="1" s="1"/>
  <c r="G2427" i="1"/>
  <c r="K2427" i="1" s="1"/>
  <c r="L2426" i="1"/>
  <c r="E2426" i="1"/>
  <c r="K2425" i="1"/>
  <c r="G2425" i="1"/>
  <c r="G2424" i="1"/>
  <c r="K2424" i="1" s="1"/>
  <c r="K2423" i="1"/>
  <c r="G2423" i="1"/>
  <c r="G2422" i="1"/>
  <c r="K2422" i="1" s="1"/>
  <c r="K2421" i="1"/>
  <c r="G2421" i="1"/>
  <c r="G2420" i="1"/>
  <c r="K2420" i="1" s="1"/>
  <c r="K2419" i="1"/>
  <c r="G2419" i="1"/>
  <c r="G2418" i="1"/>
  <c r="K2418" i="1" s="1"/>
  <c r="K2417" i="1"/>
  <c r="G2417" i="1"/>
  <c r="K2416" i="1"/>
  <c r="G2416" i="1"/>
  <c r="S2415" i="1"/>
  <c r="R2415" i="1"/>
  <c r="K2415" i="1"/>
  <c r="G2415" i="1"/>
  <c r="T2414" i="1"/>
  <c r="T2415" i="1" s="1"/>
  <c r="S2414" i="1"/>
  <c r="R2414" i="1"/>
  <c r="G2414" i="1"/>
  <c r="K2414" i="1" s="1"/>
  <c r="L2413" i="1"/>
  <c r="E2413" i="1"/>
  <c r="K2412" i="1"/>
  <c r="G2412" i="1"/>
  <c r="G2411" i="1"/>
  <c r="K2411" i="1" s="1"/>
  <c r="K2410" i="1"/>
  <c r="G2410" i="1"/>
  <c r="G2409" i="1"/>
  <c r="K2409" i="1" s="1"/>
  <c r="K2408" i="1"/>
  <c r="G2408" i="1"/>
  <c r="G2407" i="1"/>
  <c r="K2407" i="1" s="1"/>
  <c r="K2406" i="1"/>
  <c r="G2406" i="1"/>
  <c r="G2405" i="1"/>
  <c r="K2405" i="1" s="1"/>
  <c r="K2404" i="1"/>
  <c r="G2404" i="1"/>
  <c r="G2403" i="1"/>
  <c r="K2403" i="1" s="1"/>
  <c r="K2402" i="1"/>
  <c r="G2402" i="1"/>
  <c r="G2401" i="1"/>
  <c r="K2401" i="1" s="1"/>
  <c r="G2400" i="1"/>
  <c r="K2400" i="1" s="1"/>
  <c r="L2399" i="1"/>
  <c r="E2399" i="1"/>
  <c r="G2397" i="1"/>
  <c r="K2397" i="1" s="1"/>
  <c r="K2396" i="1"/>
  <c r="G2396" i="1"/>
  <c r="K2395" i="1"/>
  <c r="G2395" i="1"/>
  <c r="L2394" i="1"/>
  <c r="L2395" i="1" s="1"/>
  <c r="L2396" i="1" s="1"/>
  <c r="L2397" i="1" s="1"/>
  <c r="L2398" i="1" s="1"/>
  <c r="O2395" i="1" s="1"/>
  <c r="E2394" i="1"/>
  <c r="G2393" i="1"/>
  <c r="K2393" i="1" s="1"/>
  <c r="K2392" i="1"/>
  <c r="G2392" i="1"/>
  <c r="G2391" i="1"/>
  <c r="K2391" i="1" s="1"/>
  <c r="K2390" i="1"/>
  <c r="G2390" i="1"/>
  <c r="G2389" i="1"/>
  <c r="K2389" i="1" s="1"/>
  <c r="K2388" i="1"/>
  <c r="G2388" i="1"/>
  <c r="G2387" i="1"/>
  <c r="K2387" i="1" s="1"/>
  <c r="K2386" i="1"/>
  <c r="G2386" i="1"/>
  <c r="G2385" i="1"/>
  <c r="K2385" i="1" s="1"/>
  <c r="K2384" i="1"/>
  <c r="G2384" i="1"/>
  <c r="K2383" i="1"/>
  <c r="G2383" i="1"/>
  <c r="K2382" i="1"/>
  <c r="G2382" i="1"/>
  <c r="T2381" i="1"/>
  <c r="S2381" i="1"/>
  <c r="R2381" i="1"/>
  <c r="G2381" i="1"/>
  <c r="L2380" i="1"/>
  <c r="E2380" i="1"/>
  <c r="K2379" i="1"/>
  <c r="G2379" i="1"/>
  <c r="G2378" i="1"/>
  <c r="K2378" i="1" s="1"/>
  <c r="K2377" i="1"/>
  <c r="G2377" i="1"/>
  <c r="G2376" i="1"/>
  <c r="K2376" i="1" s="1"/>
  <c r="K2375" i="1"/>
  <c r="G2375" i="1"/>
  <c r="G2374" i="1"/>
  <c r="K2374" i="1" s="1"/>
  <c r="K2373" i="1"/>
  <c r="G2373" i="1"/>
  <c r="G2372" i="1"/>
  <c r="K2372" i="1" s="1"/>
  <c r="K2371" i="1"/>
  <c r="G2371" i="1"/>
  <c r="G2370" i="1"/>
  <c r="K2370" i="1" s="1"/>
  <c r="K2369" i="1"/>
  <c r="G2369" i="1"/>
  <c r="G2368" i="1"/>
  <c r="K2368" i="1" s="1"/>
  <c r="K2367" i="1"/>
  <c r="G2367" i="1"/>
  <c r="G2366" i="1"/>
  <c r="K2366" i="1" s="1"/>
  <c r="K2365" i="1"/>
  <c r="G2365" i="1"/>
  <c r="G2364" i="1"/>
  <c r="K2364" i="1" s="1"/>
  <c r="K2363" i="1"/>
  <c r="G2363" i="1"/>
  <c r="G2362" i="1"/>
  <c r="K2362" i="1" s="1"/>
  <c r="K2361" i="1"/>
  <c r="G2361" i="1"/>
  <c r="G2360" i="1"/>
  <c r="K2360" i="1" s="1"/>
  <c r="K2359" i="1"/>
  <c r="G2359" i="1"/>
  <c r="G2358" i="1"/>
  <c r="K2358" i="1" s="1"/>
  <c r="K2357" i="1"/>
  <c r="G2357" i="1"/>
  <c r="K2356" i="1"/>
  <c r="G2356" i="1"/>
  <c r="L2355" i="1"/>
  <c r="L2356" i="1" s="1"/>
  <c r="L2357" i="1" s="1"/>
  <c r="L2358" i="1" s="1"/>
  <c r="L2359" i="1" s="1"/>
  <c r="L2360" i="1" s="1"/>
  <c r="L2361" i="1" s="1"/>
  <c r="L2362" i="1" s="1"/>
  <c r="L2363" i="1" s="1"/>
  <c r="L2364" i="1" s="1"/>
  <c r="L2365" i="1" s="1"/>
  <c r="L2366" i="1" s="1"/>
  <c r="L2367" i="1" s="1"/>
  <c r="L2368" i="1" s="1"/>
  <c r="L2369" i="1" s="1"/>
  <c r="L2370" i="1" s="1"/>
  <c r="L2371" i="1" s="1"/>
  <c r="L2372" i="1" s="1"/>
  <c r="L2373" i="1" s="1"/>
  <c r="L2374" i="1" s="1"/>
  <c r="L2375" i="1" s="1"/>
  <c r="L2376" i="1" s="1"/>
  <c r="L2377" i="1" s="1"/>
  <c r="L2378" i="1" s="1"/>
  <c r="L2379" i="1" s="1"/>
  <c r="O2356" i="1" s="1"/>
  <c r="E2355" i="1"/>
  <c r="G2354" i="1"/>
  <c r="K2354" i="1" s="1"/>
  <c r="K2353" i="1"/>
  <c r="G2353" i="1"/>
  <c r="G2352" i="1"/>
  <c r="K2352" i="1" s="1"/>
  <c r="K2351" i="1"/>
  <c r="G2351" i="1"/>
  <c r="G2350" i="1"/>
  <c r="K2350" i="1" s="1"/>
  <c r="K2349" i="1"/>
  <c r="G2349" i="1"/>
  <c r="G2348" i="1"/>
  <c r="K2348" i="1" s="1"/>
  <c r="K2347" i="1"/>
  <c r="G2347" i="1"/>
  <c r="G2346" i="1"/>
  <c r="K2346" i="1" s="1"/>
  <c r="G2345" i="1"/>
  <c r="K2345" i="1" s="1"/>
  <c r="G2344" i="1"/>
  <c r="K2344" i="1" s="1"/>
  <c r="K2343" i="1"/>
  <c r="G2343" i="1"/>
  <c r="L2342" i="1"/>
  <c r="E2342" i="1"/>
  <c r="G2341" i="1"/>
  <c r="K2341" i="1" s="1"/>
  <c r="K2340" i="1"/>
  <c r="G2340" i="1"/>
  <c r="G2339" i="1"/>
  <c r="K2339" i="1" s="1"/>
  <c r="K2338" i="1"/>
  <c r="G2338" i="1"/>
  <c r="G2337" i="1"/>
  <c r="K2337" i="1" s="1"/>
  <c r="K2336" i="1"/>
  <c r="G2336" i="1"/>
  <c r="G2335" i="1"/>
  <c r="K2335" i="1" s="1"/>
  <c r="K2334" i="1"/>
  <c r="G2334" i="1"/>
  <c r="G2333" i="1"/>
  <c r="K2333" i="1" s="1"/>
  <c r="K2332" i="1"/>
  <c r="G2332" i="1"/>
  <c r="G2331" i="1"/>
  <c r="K2331" i="1" s="1"/>
  <c r="K2330" i="1"/>
  <c r="G2330" i="1"/>
  <c r="K2329" i="1"/>
  <c r="G2329" i="1"/>
  <c r="L2328" i="1"/>
  <c r="L2329" i="1" s="1"/>
  <c r="L2330" i="1" s="1"/>
  <c r="L2331" i="1" s="1"/>
  <c r="L2332" i="1" s="1"/>
  <c r="L2333" i="1" s="1"/>
  <c r="L2334" i="1" s="1"/>
  <c r="L2335" i="1" s="1"/>
  <c r="L2336" i="1" s="1"/>
  <c r="L2337" i="1" s="1"/>
  <c r="L2338" i="1" s="1"/>
  <c r="L2339" i="1" s="1"/>
  <c r="L2340" i="1" s="1"/>
  <c r="L2341" i="1" s="1"/>
  <c r="O2329" i="1" s="1"/>
  <c r="E2328" i="1"/>
  <c r="G2327" i="1"/>
  <c r="K2327" i="1" s="1"/>
  <c r="K2326" i="1"/>
  <c r="G2326" i="1"/>
  <c r="G2325" i="1"/>
  <c r="K2325" i="1" s="1"/>
  <c r="K2324" i="1"/>
  <c r="G2324" i="1"/>
  <c r="G2323" i="1"/>
  <c r="K2323" i="1" s="1"/>
  <c r="K2322" i="1"/>
  <c r="G2322" i="1"/>
  <c r="G2321" i="1"/>
  <c r="K2321" i="1" s="1"/>
  <c r="K2320" i="1"/>
  <c r="G2320" i="1"/>
  <c r="G2319" i="1"/>
  <c r="K2319" i="1" s="1"/>
  <c r="K2318" i="1"/>
  <c r="G2318" i="1"/>
  <c r="G2317" i="1"/>
  <c r="K2317" i="1" s="1"/>
  <c r="K2316" i="1"/>
  <c r="G2316" i="1"/>
  <c r="G2315" i="1"/>
  <c r="K2315" i="1" s="1"/>
  <c r="L2314" i="1"/>
  <c r="L2315" i="1" s="1"/>
  <c r="L2316" i="1" s="1"/>
  <c r="L2317" i="1" s="1"/>
  <c r="L2318" i="1" s="1"/>
  <c r="L2319" i="1" s="1"/>
  <c r="L2320" i="1" s="1"/>
  <c r="L2321" i="1" s="1"/>
  <c r="L2322" i="1" s="1"/>
  <c r="L2323" i="1" s="1"/>
  <c r="L2324" i="1" s="1"/>
  <c r="L2325" i="1" s="1"/>
  <c r="L2326" i="1" s="1"/>
  <c r="L2327" i="1" s="1"/>
  <c r="O2314" i="1" s="1"/>
  <c r="G2314" i="1"/>
  <c r="K2314" i="1" s="1"/>
  <c r="L2313" i="1"/>
  <c r="E2313" i="1"/>
  <c r="K2312" i="1"/>
  <c r="G2312" i="1"/>
  <c r="G2311" i="1"/>
  <c r="K2311" i="1" s="1"/>
  <c r="K2310" i="1"/>
  <c r="G2310" i="1"/>
  <c r="G2309" i="1"/>
  <c r="K2309" i="1" s="1"/>
  <c r="K2308" i="1"/>
  <c r="G2308" i="1"/>
  <c r="G2307" i="1"/>
  <c r="K2307" i="1" s="1"/>
  <c r="K2306" i="1"/>
  <c r="G2306" i="1"/>
  <c r="G2305" i="1"/>
  <c r="K2305" i="1" s="1"/>
  <c r="K2304" i="1"/>
  <c r="G2304" i="1"/>
  <c r="G2303" i="1"/>
  <c r="K2303" i="1" s="1"/>
  <c r="K2302" i="1"/>
  <c r="G2302" i="1"/>
  <c r="G2301" i="1"/>
  <c r="K2301" i="1" s="1"/>
  <c r="L2300" i="1"/>
  <c r="L2301" i="1" s="1"/>
  <c r="L2302" i="1" s="1"/>
  <c r="L2303" i="1" s="1"/>
  <c r="L2304" i="1" s="1"/>
  <c r="L2305" i="1" s="1"/>
  <c r="L2306" i="1" s="1"/>
  <c r="L2307" i="1" s="1"/>
  <c r="L2308" i="1" s="1"/>
  <c r="L2309" i="1" s="1"/>
  <c r="L2310" i="1" s="1"/>
  <c r="L2311" i="1" s="1"/>
  <c r="L2312" i="1" s="1"/>
  <c r="O2300" i="1" s="1"/>
  <c r="G2300" i="1"/>
  <c r="K2300" i="1" s="1"/>
  <c r="L2299" i="1"/>
  <c r="E2299" i="1"/>
  <c r="K2298" i="1"/>
  <c r="G2298" i="1"/>
  <c r="G2297" i="1"/>
  <c r="K2297" i="1" s="1"/>
  <c r="K2296" i="1"/>
  <c r="G2296" i="1"/>
  <c r="G2295" i="1"/>
  <c r="K2295" i="1" s="1"/>
  <c r="K2294" i="1"/>
  <c r="G2294" i="1"/>
  <c r="G2293" i="1"/>
  <c r="K2293" i="1" s="1"/>
  <c r="K2292" i="1"/>
  <c r="G2292" i="1"/>
  <c r="G2291" i="1"/>
  <c r="K2291" i="1" s="1"/>
  <c r="K2290" i="1"/>
  <c r="G2290" i="1"/>
  <c r="G2289" i="1"/>
  <c r="K2289" i="1" s="1"/>
  <c r="K2288" i="1"/>
  <c r="G2288" i="1"/>
  <c r="G2287" i="1"/>
  <c r="K2287" i="1" s="1"/>
  <c r="L2286" i="1"/>
  <c r="L2287" i="1" s="1"/>
  <c r="L2288" i="1" s="1"/>
  <c r="L2289" i="1" s="1"/>
  <c r="L2290" i="1" s="1"/>
  <c r="L2291" i="1" s="1"/>
  <c r="L2292" i="1" s="1"/>
  <c r="L2293" i="1" s="1"/>
  <c r="L2294" i="1" s="1"/>
  <c r="L2295" i="1" s="1"/>
  <c r="L2296" i="1" s="1"/>
  <c r="L2297" i="1" s="1"/>
  <c r="L2298" i="1" s="1"/>
  <c r="O2286" i="1" s="1"/>
  <c r="G2286" i="1"/>
  <c r="K2286" i="1" s="1"/>
  <c r="L2285" i="1"/>
  <c r="E2285" i="1"/>
  <c r="K2284" i="1"/>
  <c r="G2284" i="1"/>
  <c r="G2283" i="1"/>
  <c r="K2283" i="1" s="1"/>
  <c r="K2282" i="1"/>
  <c r="G2282" i="1"/>
  <c r="G2281" i="1"/>
  <c r="K2281" i="1" s="1"/>
  <c r="K2280" i="1"/>
  <c r="G2280" i="1"/>
  <c r="G2279" i="1"/>
  <c r="K2279" i="1" s="1"/>
  <c r="K2278" i="1"/>
  <c r="G2278" i="1"/>
  <c r="G2277" i="1"/>
  <c r="K2277" i="1" s="1"/>
  <c r="K2276" i="1"/>
  <c r="G2276" i="1"/>
  <c r="G2275" i="1"/>
  <c r="K2275" i="1" s="1"/>
  <c r="G2274" i="1"/>
  <c r="K2274" i="1" s="1"/>
  <c r="G2273" i="1"/>
  <c r="K2273" i="1" s="1"/>
  <c r="K2272" i="1"/>
  <c r="G2272" i="1"/>
  <c r="L2271" i="1"/>
  <c r="E2271" i="1"/>
  <c r="G2270" i="1"/>
  <c r="K2270" i="1" s="1"/>
  <c r="K2269" i="1"/>
  <c r="G2269" i="1"/>
  <c r="G2268" i="1"/>
  <c r="K2268" i="1" s="1"/>
  <c r="K2267" i="1"/>
  <c r="G2267" i="1"/>
  <c r="G2266" i="1"/>
  <c r="K2266" i="1" s="1"/>
  <c r="K2265" i="1"/>
  <c r="G2265" i="1"/>
  <c r="G2264" i="1"/>
  <c r="K2264" i="1" s="1"/>
  <c r="K2263" i="1"/>
  <c r="G2263" i="1"/>
  <c r="G2262" i="1"/>
  <c r="K2262" i="1" s="1"/>
  <c r="K2261" i="1"/>
  <c r="G2261" i="1"/>
  <c r="G2260" i="1"/>
  <c r="K2260" i="1" s="1"/>
  <c r="K2259" i="1"/>
  <c r="G2259" i="1"/>
  <c r="G2258" i="1"/>
  <c r="K2258" i="1" s="1"/>
  <c r="G2257" i="1"/>
  <c r="L2256" i="1"/>
  <c r="E2256" i="1"/>
  <c r="G2255" i="1"/>
  <c r="K2254" i="1"/>
  <c r="G2254" i="1"/>
  <c r="L2253" i="1"/>
  <c r="L2254" i="1" s="1"/>
  <c r="L2255" i="1" s="1"/>
  <c r="G2253" i="1"/>
  <c r="K2253" i="1" s="1"/>
  <c r="K2252" i="1"/>
  <c r="G2252" i="1"/>
  <c r="O2251" i="1"/>
  <c r="K2251" i="1"/>
  <c r="G2251" i="1"/>
  <c r="L2250" i="1"/>
  <c r="L2251" i="1" s="1"/>
  <c r="L2252" i="1" s="1"/>
  <c r="E2250" i="1"/>
  <c r="K2248" i="1"/>
  <c r="K2247" i="1"/>
  <c r="G2247" i="1"/>
  <c r="G2246" i="1"/>
  <c r="K2246" i="1" s="1"/>
  <c r="G2245" i="1"/>
  <c r="K2245" i="1" s="1"/>
  <c r="L2244" i="1"/>
  <c r="E2244" i="1"/>
  <c r="K2243" i="1"/>
  <c r="G2243" i="1"/>
  <c r="G2242" i="1"/>
  <c r="K2242" i="1" s="1"/>
  <c r="K2241" i="1"/>
  <c r="G2241" i="1"/>
  <c r="G2240" i="1"/>
  <c r="K2240" i="1" s="1"/>
  <c r="K2239" i="1"/>
  <c r="G2239" i="1"/>
  <c r="G2238" i="1"/>
  <c r="K2238" i="1" s="1"/>
  <c r="K2237" i="1"/>
  <c r="G2237" i="1"/>
  <c r="G2236" i="1"/>
  <c r="K2236" i="1" s="1"/>
  <c r="K2235" i="1"/>
  <c r="G2235" i="1"/>
  <c r="G2234" i="1"/>
  <c r="K2234" i="1" s="1"/>
  <c r="K2233" i="1"/>
  <c r="G2233" i="1"/>
  <c r="G2232" i="1"/>
  <c r="K2232" i="1" s="1"/>
  <c r="G2231" i="1"/>
  <c r="K2231" i="1" s="1"/>
  <c r="L2230" i="1"/>
  <c r="E2230" i="1"/>
  <c r="K2229" i="1"/>
  <c r="G2229" i="1"/>
  <c r="G2228" i="1"/>
  <c r="K2228" i="1" s="1"/>
  <c r="K2227" i="1"/>
  <c r="G2227" i="1"/>
  <c r="G2226" i="1"/>
  <c r="K2226" i="1" s="1"/>
  <c r="K2225" i="1"/>
  <c r="G2225" i="1"/>
  <c r="G2224" i="1"/>
  <c r="K2224" i="1" s="1"/>
  <c r="K2223" i="1"/>
  <c r="G2223" i="1"/>
  <c r="G2222" i="1"/>
  <c r="K2222" i="1" s="1"/>
  <c r="K2221" i="1"/>
  <c r="G2221" i="1"/>
  <c r="G2220" i="1"/>
  <c r="K2220" i="1" s="1"/>
  <c r="G2219" i="1"/>
  <c r="K2219" i="1" s="1"/>
  <c r="G2218" i="1"/>
  <c r="K2218" i="1" s="1"/>
  <c r="T2217" i="1"/>
  <c r="T2219" i="1" s="1"/>
  <c r="K2217" i="1"/>
  <c r="G2217" i="1"/>
  <c r="L2216" i="1"/>
  <c r="L2217" i="1" s="1"/>
  <c r="L2218" i="1" s="1"/>
  <c r="L2219" i="1" s="1"/>
  <c r="L2220" i="1" s="1"/>
  <c r="L2221" i="1" s="1"/>
  <c r="L2222" i="1" s="1"/>
  <c r="L2223" i="1" s="1"/>
  <c r="L2224" i="1" s="1"/>
  <c r="L2225" i="1" s="1"/>
  <c r="L2226" i="1" s="1"/>
  <c r="L2227" i="1" s="1"/>
  <c r="L2228" i="1" s="1"/>
  <c r="L2229" i="1" s="1"/>
  <c r="O2217" i="1" s="1"/>
  <c r="E2216" i="1"/>
  <c r="G2215" i="1"/>
  <c r="K2215" i="1" s="1"/>
  <c r="K2214" i="1"/>
  <c r="G2214" i="1"/>
  <c r="G2213" i="1"/>
  <c r="K2213" i="1" s="1"/>
  <c r="G2212" i="1"/>
  <c r="K2212" i="1" s="1"/>
  <c r="G2211" i="1"/>
  <c r="K2211" i="1" s="1"/>
  <c r="G2210" i="1"/>
  <c r="K2210" i="1" s="1"/>
  <c r="K2209" i="1"/>
  <c r="G2209" i="1"/>
  <c r="G2208" i="1"/>
  <c r="K2208" i="1" s="1"/>
  <c r="K2207" i="1"/>
  <c r="G2207" i="1"/>
  <c r="G2206" i="1"/>
  <c r="K2206" i="1" s="1"/>
  <c r="K2205" i="1"/>
  <c r="G2205" i="1"/>
  <c r="G2204" i="1"/>
  <c r="K2204" i="1" s="1"/>
  <c r="G2203" i="1"/>
  <c r="L2202" i="1"/>
  <c r="T2210" i="1" s="1"/>
  <c r="E2202" i="1"/>
  <c r="K2201" i="1"/>
  <c r="G2201" i="1"/>
  <c r="G2200" i="1"/>
  <c r="K2200" i="1" s="1"/>
  <c r="K2199" i="1"/>
  <c r="G2199" i="1"/>
  <c r="G2198" i="1"/>
  <c r="K2198" i="1" s="1"/>
  <c r="K2197" i="1"/>
  <c r="G2197" i="1"/>
  <c r="G2196" i="1"/>
  <c r="K2196" i="1" s="1"/>
  <c r="K2195" i="1"/>
  <c r="G2195" i="1"/>
  <c r="G2194" i="1"/>
  <c r="K2194" i="1" s="1"/>
  <c r="K2193" i="1"/>
  <c r="G2193" i="1"/>
  <c r="G2192" i="1"/>
  <c r="K2192" i="1" s="1"/>
  <c r="K2191" i="1"/>
  <c r="G2191" i="1"/>
  <c r="G2190" i="1"/>
  <c r="K2190" i="1" s="1"/>
  <c r="G2189" i="1"/>
  <c r="L2188" i="1"/>
  <c r="E2188" i="1"/>
  <c r="G2187" i="1"/>
  <c r="K2186" i="1"/>
  <c r="G2186" i="1"/>
  <c r="L2185" i="1"/>
  <c r="L2186" i="1" s="1"/>
  <c r="L2187" i="1" s="1"/>
  <c r="G2185" i="1"/>
  <c r="K2185" i="1" s="1"/>
  <c r="K2184" i="1"/>
  <c r="G2184" i="1"/>
  <c r="O2183" i="1"/>
  <c r="K2183" i="1"/>
  <c r="G2183" i="1"/>
  <c r="L2182" i="1"/>
  <c r="L2183" i="1" s="1"/>
  <c r="L2184" i="1" s="1"/>
  <c r="E2182" i="1"/>
  <c r="G2181" i="1"/>
  <c r="K2181" i="1" s="1"/>
  <c r="G2180" i="1"/>
  <c r="K2180" i="1" s="1"/>
  <c r="G2179" i="1"/>
  <c r="K2179" i="1" s="1"/>
  <c r="K2178" i="1"/>
  <c r="G2178" i="1"/>
  <c r="G2177" i="1"/>
  <c r="K2177" i="1" s="1"/>
  <c r="K2176" i="1"/>
  <c r="G2176" i="1"/>
  <c r="G2175" i="1"/>
  <c r="K2175" i="1" s="1"/>
  <c r="K2174" i="1"/>
  <c r="G2174" i="1"/>
  <c r="G2173" i="1"/>
  <c r="K2173" i="1" s="1"/>
  <c r="K2172" i="1"/>
  <c r="G2172" i="1"/>
  <c r="G2171" i="1"/>
  <c r="K2171" i="1" s="1"/>
  <c r="K2170" i="1"/>
  <c r="G2170" i="1"/>
  <c r="K2169" i="1"/>
  <c r="G2169" i="1"/>
  <c r="L2168" i="1"/>
  <c r="L2169" i="1" s="1"/>
  <c r="L2170" i="1" s="1"/>
  <c r="L2171" i="1" s="1"/>
  <c r="L2172" i="1" s="1"/>
  <c r="L2173" i="1" s="1"/>
  <c r="L2174" i="1" s="1"/>
  <c r="L2175" i="1" s="1"/>
  <c r="L2176" i="1" s="1"/>
  <c r="L2177" i="1" s="1"/>
  <c r="L2178" i="1" s="1"/>
  <c r="L2179" i="1" s="1"/>
  <c r="L2180" i="1" s="1"/>
  <c r="L2181" i="1" s="1"/>
  <c r="O2169" i="1" s="1"/>
  <c r="E2168" i="1"/>
  <c r="G2167" i="1"/>
  <c r="K2167" i="1" s="1"/>
  <c r="K2166" i="1"/>
  <c r="G2166" i="1"/>
  <c r="G2165" i="1"/>
  <c r="K2165" i="1" s="1"/>
  <c r="K2164" i="1"/>
  <c r="G2164" i="1"/>
  <c r="G2163" i="1"/>
  <c r="K2163" i="1" s="1"/>
  <c r="K2162" i="1"/>
  <c r="G2162" i="1"/>
  <c r="G2161" i="1"/>
  <c r="K2161" i="1" s="1"/>
  <c r="K2160" i="1"/>
  <c r="G2160" i="1"/>
  <c r="I2159" i="1"/>
  <c r="G2159" i="1"/>
  <c r="G2158" i="1"/>
  <c r="K2158" i="1" s="1"/>
  <c r="K2157" i="1"/>
  <c r="G2157" i="1"/>
  <c r="G2156" i="1"/>
  <c r="K2156" i="1" s="1"/>
  <c r="L2155" i="1"/>
  <c r="L2156" i="1" s="1"/>
  <c r="L2157" i="1" s="1"/>
  <c r="L2158" i="1" s="1"/>
  <c r="L2159" i="1" s="1"/>
  <c r="L2160" i="1" s="1"/>
  <c r="L2161" i="1" s="1"/>
  <c r="L2162" i="1" s="1"/>
  <c r="L2163" i="1" s="1"/>
  <c r="L2164" i="1" s="1"/>
  <c r="L2165" i="1" s="1"/>
  <c r="L2166" i="1" s="1"/>
  <c r="L2167" i="1" s="1"/>
  <c r="O2155" i="1" s="1"/>
  <c r="G2155" i="1"/>
  <c r="K2155" i="1" s="1"/>
  <c r="L2154" i="1"/>
  <c r="E2154" i="1"/>
  <c r="K2153" i="1"/>
  <c r="G2153" i="1"/>
  <c r="G2152" i="1"/>
  <c r="K2152" i="1" s="1"/>
  <c r="K2151" i="1"/>
  <c r="G2151" i="1"/>
  <c r="G2150" i="1"/>
  <c r="K2150" i="1" s="1"/>
  <c r="K2149" i="1"/>
  <c r="G2149" i="1"/>
  <c r="G2148" i="1"/>
  <c r="K2148" i="1" s="1"/>
  <c r="K2147" i="1"/>
  <c r="G2147" i="1"/>
  <c r="G2146" i="1"/>
  <c r="K2146" i="1" s="1"/>
  <c r="G2145" i="1"/>
  <c r="K2145" i="1" s="1"/>
  <c r="G2144" i="1"/>
  <c r="K2144" i="1" s="1"/>
  <c r="T2143" i="1"/>
  <c r="T2145" i="1" s="1"/>
  <c r="G2143" i="1"/>
  <c r="K2143" i="1" s="1"/>
  <c r="K2142" i="1"/>
  <c r="G2142" i="1"/>
  <c r="K2141" i="1"/>
  <c r="G2141" i="1"/>
  <c r="L2140" i="1"/>
  <c r="L2141" i="1" s="1"/>
  <c r="L2142" i="1" s="1"/>
  <c r="E2140" i="1"/>
  <c r="G2139" i="1"/>
  <c r="K2139" i="1" s="1"/>
  <c r="K2138" i="1"/>
  <c r="G2138" i="1"/>
  <c r="G2137" i="1"/>
  <c r="K2137" i="1" s="1"/>
  <c r="K2136" i="1"/>
  <c r="G2136" i="1"/>
  <c r="G2135" i="1"/>
  <c r="K2135" i="1" s="1"/>
  <c r="K2134" i="1"/>
  <c r="G2134" i="1"/>
  <c r="G2133" i="1"/>
  <c r="K2133" i="1" s="1"/>
  <c r="K2132" i="1"/>
  <c r="G2132" i="1"/>
  <c r="G2131" i="1"/>
  <c r="K2131" i="1" s="1"/>
  <c r="K2130" i="1"/>
  <c r="G2130" i="1"/>
  <c r="G2129" i="1"/>
  <c r="K2129" i="1" s="1"/>
  <c r="K2128" i="1"/>
  <c r="G2128" i="1"/>
  <c r="K2127" i="1"/>
  <c r="G2127" i="1"/>
  <c r="L2126" i="1"/>
  <c r="L2127" i="1" s="1"/>
  <c r="L2128" i="1" s="1"/>
  <c r="L2129" i="1" s="1"/>
  <c r="L2130" i="1" s="1"/>
  <c r="L2131" i="1" s="1"/>
  <c r="L2132" i="1" s="1"/>
  <c r="L2133" i="1" s="1"/>
  <c r="L2134" i="1" s="1"/>
  <c r="L2135" i="1" s="1"/>
  <c r="L2136" i="1" s="1"/>
  <c r="L2137" i="1" s="1"/>
  <c r="L2138" i="1" s="1"/>
  <c r="L2139" i="1" s="1"/>
  <c r="O2127" i="1" s="1"/>
  <c r="E2126" i="1"/>
  <c r="G2125" i="1"/>
  <c r="K2125" i="1" s="1"/>
  <c r="K2124" i="1"/>
  <c r="G2124" i="1"/>
  <c r="G2123" i="1"/>
  <c r="K2123" i="1" s="1"/>
  <c r="K2122" i="1"/>
  <c r="G2122" i="1"/>
  <c r="L2121" i="1"/>
  <c r="L2122" i="1" s="1"/>
  <c r="L2123" i="1" s="1"/>
  <c r="L2124" i="1" s="1"/>
  <c r="L2125" i="1" s="1"/>
  <c r="O2119" i="1" s="1"/>
  <c r="G2121" i="1"/>
  <c r="K2121" i="1" s="1"/>
  <c r="K2120" i="1"/>
  <c r="G2120" i="1"/>
  <c r="K2119" i="1"/>
  <c r="G2119" i="1"/>
  <c r="L2118" i="1"/>
  <c r="L2119" i="1" s="1"/>
  <c r="L2120" i="1" s="1"/>
  <c r="E2118" i="1"/>
  <c r="G2117" i="1"/>
  <c r="K2117" i="1" s="1"/>
  <c r="K2116" i="1"/>
  <c r="G2116" i="1"/>
  <c r="G2115" i="1"/>
  <c r="K2115" i="1" s="1"/>
  <c r="K2114" i="1"/>
  <c r="G2114" i="1"/>
  <c r="G2113" i="1"/>
  <c r="K2113" i="1" s="1"/>
  <c r="K2112" i="1"/>
  <c r="G2112" i="1"/>
  <c r="G2111" i="1"/>
  <c r="K2111" i="1" s="1"/>
  <c r="K2110" i="1"/>
  <c r="G2110" i="1"/>
  <c r="G2109" i="1"/>
  <c r="K2109" i="1" s="1"/>
  <c r="K2108" i="1"/>
  <c r="G2108" i="1"/>
  <c r="G2107" i="1"/>
  <c r="K2107" i="1" s="1"/>
  <c r="K2106" i="1"/>
  <c r="G2106" i="1"/>
  <c r="K2105" i="1"/>
  <c r="G2105" i="1"/>
  <c r="L2104" i="1"/>
  <c r="L2105" i="1" s="1"/>
  <c r="L2106" i="1" s="1"/>
  <c r="L2107" i="1" s="1"/>
  <c r="L2108" i="1" s="1"/>
  <c r="L2109" i="1" s="1"/>
  <c r="L2110" i="1" s="1"/>
  <c r="L2111" i="1" s="1"/>
  <c r="L2112" i="1" s="1"/>
  <c r="L2113" i="1" s="1"/>
  <c r="L2114" i="1" s="1"/>
  <c r="L2115" i="1" s="1"/>
  <c r="L2116" i="1" s="1"/>
  <c r="L2117" i="1" s="1"/>
  <c r="O2105" i="1" s="1"/>
  <c r="E2104" i="1"/>
  <c r="G2103" i="1"/>
  <c r="K2103" i="1" s="1"/>
  <c r="K2102" i="1"/>
  <c r="G2102" i="1"/>
  <c r="G2101" i="1"/>
  <c r="K2101" i="1" s="1"/>
  <c r="K2100" i="1"/>
  <c r="G2100" i="1"/>
  <c r="G2099" i="1"/>
  <c r="K2099" i="1" s="1"/>
  <c r="K2098" i="1"/>
  <c r="G2098" i="1"/>
  <c r="G2097" i="1"/>
  <c r="K2097" i="1" s="1"/>
  <c r="K2096" i="1"/>
  <c r="G2096" i="1"/>
  <c r="G2095" i="1"/>
  <c r="K2095" i="1" s="1"/>
  <c r="K2094" i="1"/>
  <c r="G2094" i="1"/>
  <c r="L2093" i="1"/>
  <c r="L2094" i="1" s="1"/>
  <c r="G2093" i="1"/>
  <c r="K2093" i="1" s="1"/>
  <c r="K2092" i="1"/>
  <c r="G2092" i="1"/>
  <c r="K2091" i="1"/>
  <c r="G2091" i="1"/>
  <c r="L2090" i="1"/>
  <c r="L2091" i="1" s="1"/>
  <c r="L2092" i="1" s="1"/>
  <c r="E2090" i="1"/>
  <c r="K2089" i="1"/>
  <c r="G2089" i="1"/>
  <c r="K2088" i="1"/>
  <c r="G2088" i="1"/>
  <c r="G2087" i="1"/>
  <c r="K2087" i="1" s="1"/>
  <c r="K2086" i="1"/>
  <c r="G2086" i="1"/>
  <c r="K2085" i="1"/>
  <c r="G2085" i="1"/>
  <c r="L2084" i="1"/>
  <c r="L2085" i="1" s="1"/>
  <c r="L2086" i="1" s="1"/>
  <c r="E2084" i="1"/>
  <c r="K2082" i="1"/>
  <c r="G2082" i="1"/>
  <c r="G2081" i="1"/>
  <c r="K2081" i="1" s="1"/>
  <c r="K2080" i="1"/>
  <c r="G2080" i="1"/>
  <c r="G2079" i="1"/>
  <c r="K2079" i="1" s="1"/>
  <c r="L2078" i="1"/>
  <c r="L2079" i="1" s="1"/>
  <c r="L2080" i="1" s="1"/>
  <c r="L2081" i="1" s="1"/>
  <c r="L2082" i="1" s="1"/>
  <c r="L2083" i="1" s="1"/>
  <c r="O2078" i="1" s="1"/>
  <c r="G2078" i="1"/>
  <c r="K2078" i="1" s="1"/>
  <c r="L2077" i="1"/>
  <c r="E2077" i="1"/>
  <c r="K2075" i="1"/>
  <c r="G2075" i="1"/>
  <c r="G2074" i="1"/>
  <c r="K2074" i="1" s="1"/>
  <c r="K2073" i="1"/>
  <c r="G2073" i="1"/>
  <c r="G2072" i="1"/>
  <c r="K2072" i="1" s="1"/>
  <c r="K2071" i="1"/>
  <c r="G2071" i="1"/>
  <c r="K2070" i="1"/>
  <c r="G2070" i="1"/>
  <c r="L2069" i="1"/>
  <c r="L2070" i="1" s="1"/>
  <c r="L2071" i="1" s="1"/>
  <c r="L2072" i="1" s="1"/>
  <c r="L2073" i="1" s="1"/>
  <c r="L2074" i="1" s="1"/>
  <c r="L2075" i="1" s="1"/>
  <c r="O2070" i="1" s="1"/>
  <c r="E2069" i="1"/>
  <c r="G2068" i="1"/>
  <c r="K2068" i="1" s="1"/>
  <c r="K2067" i="1"/>
  <c r="G2067" i="1"/>
  <c r="G2066" i="1"/>
  <c r="K2066" i="1" s="1"/>
  <c r="K2065" i="1"/>
  <c r="G2065" i="1"/>
  <c r="G2064" i="1"/>
  <c r="K2064" i="1" s="1"/>
  <c r="G2063" i="1"/>
  <c r="G2062" i="1"/>
  <c r="K2061" i="1"/>
  <c r="G2061" i="1"/>
  <c r="G2060" i="1"/>
  <c r="K2060" i="1" s="1"/>
  <c r="K2059" i="1"/>
  <c r="G2059" i="1"/>
  <c r="G2058" i="1"/>
  <c r="K2058" i="1" s="1"/>
  <c r="K2057" i="1"/>
  <c r="G2057" i="1"/>
  <c r="G2056" i="1"/>
  <c r="K2056" i="1" s="1"/>
  <c r="K2055" i="1"/>
  <c r="G2055" i="1"/>
  <c r="G2054" i="1"/>
  <c r="K2054" i="1" s="1"/>
  <c r="K2053" i="1"/>
  <c r="G2053" i="1"/>
  <c r="G2052" i="1"/>
  <c r="K2052" i="1" s="1"/>
  <c r="K2051" i="1"/>
  <c r="G2051" i="1"/>
  <c r="G2050" i="1"/>
  <c r="K2050" i="1" s="1"/>
  <c r="K2049" i="1"/>
  <c r="G2049" i="1"/>
  <c r="G2048" i="1"/>
  <c r="K2048" i="1" s="1"/>
  <c r="K2047" i="1"/>
  <c r="G2047" i="1"/>
  <c r="K2046" i="1"/>
  <c r="G2046" i="1"/>
  <c r="D2045" i="1"/>
  <c r="K2044" i="1"/>
  <c r="G2044" i="1"/>
  <c r="L2043" i="1"/>
  <c r="L2044" i="1" s="1"/>
  <c r="O2042" i="1" s="1"/>
  <c r="G2043" i="1"/>
  <c r="K2043" i="1" s="1"/>
  <c r="L2042" i="1"/>
  <c r="G2042" i="1"/>
  <c r="K2042" i="1" s="1"/>
  <c r="L2041" i="1"/>
  <c r="E2041" i="1"/>
  <c r="K2040" i="1"/>
  <c r="G2040" i="1"/>
  <c r="L2039" i="1"/>
  <c r="L2040" i="1" s="1"/>
  <c r="O2037" i="1" s="1"/>
  <c r="G2039" i="1"/>
  <c r="K2039" i="1" s="1"/>
  <c r="K2038" i="1"/>
  <c r="G2038" i="1"/>
  <c r="K2037" i="1"/>
  <c r="G2037" i="1"/>
  <c r="L2036" i="1"/>
  <c r="L2037" i="1" s="1"/>
  <c r="L2038" i="1" s="1"/>
  <c r="E2036" i="1"/>
  <c r="G2035" i="1"/>
  <c r="K2035" i="1" s="1"/>
  <c r="K2034" i="1"/>
  <c r="E2034" i="1"/>
  <c r="G2034" i="1" s="1"/>
  <c r="K2033" i="1"/>
  <c r="G2033" i="1"/>
  <c r="K2032" i="1"/>
  <c r="G2032" i="1"/>
  <c r="D2031" i="1"/>
  <c r="K2030" i="1"/>
  <c r="G2030" i="1"/>
  <c r="G2029" i="1"/>
  <c r="K2029" i="1" s="1"/>
  <c r="L2028" i="1"/>
  <c r="L2029" i="1" s="1"/>
  <c r="L2030" i="1" s="1"/>
  <c r="O2028" i="1" s="1"/>
  <c r="G2028" i="1"/>
  <c r="K2028" i="1" s="1"/>
  <c r="L2027" i="1"/>
  <c r="E2027" i="1"/>
  <c r="K2026" i="1"/>
  <c r="G2026" i="1"/>
  <c r="G2025" i="1"/>
  <c r="K2025" i="1" s="1"/>
  <c r="K2024" i="1"/>
  <c r="G2024" i="1"/>
  <c r="K2023" i="1"/>
  <c r="G2023" i="1"/>
  <c r="D2022" i="1"/>
  <c r="K2021" i="1"/>
  <c r="G2021" i="1"/>
  <c r="L2020" i="1"/>
  <c r="L2021" i="1" s="1"/>
  <c r="O2019" i="1" s="1"/>
  <c r="G2020" i="1"/>
  <c r="K2020" i="1" s="1"/>
  <c r="L2019" i="1"/>
  <c r="G2019" i="1"/>
  <c r="K2019" i="1" s="1"/>
  <c r="L2018" i="1"/>
  <c r="E2018" i="1"/>
  <c r="G2016" i="1"/>
  <c r="K2016" i="1" s="1"/>
  <c r="K2015" i="1"/>
  <c r="G2015" i="1"/>
  <c r="O2014" i="1"/>
  <c r="K2014" i="1"/>
  <c r="G2014" i="1"/>
  <c r="L2013" i="1"/>
  <c r="L2014" i="1" s="1"/>
  <c r="L2015" i="1" s="1"/>
  <c r="L2016" i="1" s="1"/>
  <c r="L2017" i="1" s="1"/>
  <c r="E2013" i="1"/>
  <c r="G2012" i="1"/>
  <c r="K2012" i="1" s="1"/>
  <c r="K2011" i="1"/>
  <c r="G2011" i="1"/>
  <c r="O2010" i="1"/>
  <c r="K2010" i="1"/>
  <c r="G2010" i="1"/>
  <c r="L2009" i="1"/>
  <c r="L2010" i="1" s="1"/>
  <c r="L2011" i="1" s="1"/>
  <c r="L2012" i="1" s="1"/>
  <c r="E2009" i="1"/>
  <c r="K2008" i="1"/>
  <c r="G2007" i="1"/>
  <c r="K2007" i="1" s="1"/>
  <c r="K2006" i="1"/>
  <c r="G2006" i="1"/>
  <c r="G2005" i="1"/>
  <c r="K2005" i="1" s="1"/>
  <c r="K2004" i="1"/>
  <c r="G2004" i="1"/>
  <c r="G2003" i="1"/>
  <c r="K2003" i="1" s="1"/>
  <c r="L2002" i="1"/>
  <c r="L2003" i="1" s="1"/>
  <c r="L2004" i="1" s="1"/>
  <c r="L2005" i="1" s="1"/>
  <c r="L2006" i="1" s="1"/>
  <c r="L2007" i="1" s="1"/>
  <c r="L2008" i="1" s="1"/>
  <c r="O2002" i="1" s="1"/>
  <c r="G2002" i="1"/>
  <c r="K2002" i="1" s="1"/>
  <c r="L2001" i="1"/>
  <c r="E2001" i="1"/>
  <c r="G1999" i="1"/>
  <c r="K1999" i="1" s="1"/>
  <c r="K1998" i="1"/>
  <c r="G1998" i="1"/>
  <c r="G1997" i="1"/>
  <c r="K1997" i="1" s="1"/>
  <c r="K1996" i="1"/>
  <c r="G1996" i="1"/>
  <c r="G1995" i="1"/>
  <c r="K1995" i="1" s="1"/>
  <c r="K1994" i="1"/>
  <c r="G1994" i="1"/>
  <c r="K1993" i="1"/>
  <c r="G1993" i="1"/>
  <c r="L1992" i="1"/>
  <c r="L1993" i="1" s="1"/>
  <c r="L1994" i="1" s="1"/>
  <c r="L1995" i="1" s="1"/>
  <c r="L1996" i="1" s="1"/>
  <c r="L1997" i="1" s="1"/>
  <c r="L1998" i="1" s="1"/>
  <c r="L1999" i="1" s="1"/>
  <c r="L2000" i="1" s="1"/>
  <c r="O1993" i="1" s="1"/>
  <c r="E1992" i="1"/>
  <c r="G1991" i="1"/>
  <c r="K1991" i="1" s="1"/>
  <c r="K1990" i="1"/>
  <c r="G1990" i="1"/>
  <c r="G1989" i="1"/>
  <c r="K1989" i="1" s="1"/>
  <c r="L1988" i="1"/>
  <c r="L1989" i="1" s="1"/>
  <c r="L1990" i="1" s="1"/>
  <c r="L1991" i="1" s="1"/>
  <c r="O1988" i="1" s="1"/>
  <c r="G1988" i="1"/>
  <c r="K1988" i="1" s="1"/>
  <c r="L1987" i="1"/>
  <c r="E1987" i="1"/>
  <c r="G1985" i="1"/>
  <c r="K1985" i="1" s="1"/>
  <c r="K1984" i="1"/>
  <c r="G1984" i="1"/>
  <c r="G1983" i="1"/>
  <c r="K1983" i="1" s="1"/>
  <c r="K1982" i="1"/>
  <c r="G1982" i="1"/>
  <c r="G1981" i="1"/>
  <c r="K1981" i="1" s="1"/>
  <c r="K1980" i="1"/>
  <c r="G1980" i="1"/>
  <c r="G1979" i="1"/>
  <c r="K1979" i="1" s="1"/>
  <c r="K1978" i="1"/>
  <c r="G1978" i="1"/>
  <c r="G1977" i="1"/>
  <c r="K1977" i="1" s="1"/>
  <c r="G1976" i="1"/>
  <c r="L1975" i="1"/>
  <c r="E1975" i="1"/>
  <c r="G1973" i="1"/>
  <c r="K1973" i="1" s="1"/>
  <c r="K1972" i="1"/>
  <c r="G1972" i="1"/>
  <c r="G1971" i="1"/>
  <c r="K1971" i="1" s="1"/>
  <c r="K1970" i="1"/>
  <c r="G1970" i="1"/>
  <c r="G1969" i="1"/>
  <c r="K1969" i="1" s="1"/>
  <c r="K1968" i="1"/>
  <c r="G1968" i="1"/>
  <c r="G1967" i="1"/>
  <c r="K1967" i="1" s="1"/>
  <c r="K1966" i="1"/>
  <c r="G1966" i="1"/>
  <c r="G1965" i="1"/>
  <c r="K1965" i="1" s="1"/>
  <c r="K1964" i="1"/>
  <c r="G1964" i="1"/>
  <c r="G1963" i="1"/>
  <c r="K1963" i="1" s="1"/>
  <c r="K1962" i="1"/>
  <c r="G1962" i="1"/>
  <c r="G1961" i="1"/>
  <c r="K1961" i="1" s="1"/>
  <c r="K1960" i="1"/>
  <c r="G1960" i="1"/>
  <c r="K1959" i="1"/>
  <c r="G1959" i="1"/>
  <c r="L1958" i="1"/>
  <c r="L1959" i="1" s="1"/>
  <c r="L1960" i="1" s="1"/>
  <c r="L1961" i="1" s="1"/>
  <c r="L1962" i="1" s="1"/>
  <c r="L1963" i="1" s="1"/>
  <c r="L1964" i="1" s="1"/>
  <c r="L1965" i="1" s="1"/>
  <c r="L1966" i="1" s="1"/>
  <c r="L1967" i="1" s="1"/>
  <c r="L1968" i="1" s="1"/>
  <c r="L1969" i="1" s="1"/>
  <c r="L1970" i="1" s="1"/>
  <c r="L1971" i="1" s="1"/>
  <c r="L1972" i="1" s="1"/>
  <c r="L1973" i="1" s="1"/>
  <c r="L1974" i="1" s="1"/>
  <c r="O1959" i="1" s="1"/>
  <c r="E1958" i="1"/>
  <c r="G1957" i="1"/>
  <c r="K1957" i="1" s="1"/>
  <c r="K1956" i="1"/>
  <c r="G1956" i="1"/>
  <c r="G1955" i="1"/>
  <c r="K1955" i="1" s="1"/>
  <c r="K1954" i="1"/>
  <c r="G1954" i="1"/>
  <c r="G1953" i="1"/>
  <c r="K1953" i="1" s="1"/>
  <c r="K1952" i="1"/>
  <c r="G1952" i="1"/>
  <c r="G1951" i="1"/>
  <c r="K1951" i="1" s="1"/>
  <c r="G1950" i="1"/>
  <c r="L1949" i="1"/>
  <c r="E1949" i="1"/>
  <c r="G1947" i="1"/>
  <c r="K1947" i="1" s="1"/>
  <c r="K1946" i="1"/>
  <c r="G1946" i="1"/>
  <c r="G1945" i="1"/>
  <c r="K1945" i="1" s="1"/>
  <c r="K1944" i="1"/>
  <c r="G1944" i="1"/>
  <c r="G1943" i="1"/>
  <c r="K1943" i="1" s="1"/>
  <c r="K1942" i="1"/>
  <c r="G1942" i="1"/>
  <c r="G1941" i="1"/>
  <c r="K1941" i="1" s="1"/>
  <c r="G1940" i="1"/>
  <c r="L1939" i="1"/>
  <c r="E1939" i="1"/>
  <c r="G1937" i="1"/>
  <c r="K1937" i="1" s="1"/>
  <c r="K1936" i="1"/>
  <c r="G1936" i="1"/>
  <c r="G1935" i="1"/>
  <c r="K1935" i="1" s="1"/>
  <c r="K1934" i="1"/>
  <c r="G1934" i="1"/>
  <c r="G1933" i="1"/>
  <c r="K1933" i="1" s="1"/>
  <c r="K1932" i="1"/>
  <c r="G1932" i="1"/>
  <c r="G1931" i="1"/>
  <c r="K1931" i="1" s="1"/>
  <c r="K1930" i="1"/>
  <c r="G1930" i="1"/>
  <c r="G1929" i="1"/>
  <c r="K1929" i="1" s="1"/>
  <c r="K1928" i="1"/>
  <c r="G1928" i="1"/>
  <c r="G1927" i="1"/>
  <c r="K1927" i="1" s="1"/>
  <c r="K1926" i="1"/>
  <c r="G1926" i="1"/>
  <c r="K1925" i="1"/>
  <c r="G1925" i="1"/>
  <c r="L1924" i="1"/>
  <c r="L1925" i="1" s="1"/>
  <c r="L1926" i="1" s="1"/>
  <c r="L1927" i="1" s="1"/>
  <c r="L1928" i="1" s="1"/>
  <c r="L1929" i="1" s="1"/>
  <c r="L1930" i="1" s="1"/>
  <c r="L1931" i="1" s="1"/>
  <c r="L1932" i="1" s="1"/>
  <c r="L1933" i="1" s="1"/>
  <c r="L1934" i="1" s="1"/>
  <c r="L1935" i="1" s="1"/>
  <c r="L1936" i="1" s="1"/>
  <c r="L1937" i="1" s="1"/>
  <c r="L1938" i="1" s="1"/>
  <c r="O1925" i="1" s="1"/>
  <c r="E1924" i="1"/>
  <c r="E1923" i="1"/>
  <c r="G1922" i="1"/>
  <c r="K1922" i="1" s="1"/>
  <c r="K1921" i="1"/>
  <c r="G1921" i="1"/>
  <c r="G1920" i="1"/>
  <c r="K1920" i="1" s="1"/>
  <c r="K1919" i="1"/>
  <c r="G1919" i="1"/>
  <c r="G1918" i="1"/>
  <c r="K1918" i="1" s="1"/>
  <c r="K1917" i="1"/>
  <c r="G1917" i="1"/>
  <c r="G1916" i="1"/>
  <c r="K1916" i="1" s="1"/>
  <c r="K1915" i="1"/>
  <c r="G1915" i="1"/>
  <c r="K1914" i="1"/>
  <c r="G1914" i="1"/>
  <c r="L1913" i="1"/>
  <c r="L1914" i="1" s="1"/>
  <c r="L1915" i="1" s="1"/>
  <c r="L1916" i="1" s="1"/>
  <c r="L1917" i="1" s="1"/>
  <c r="L1918" i="1" s="1"/>
  <c r="L1919" i="1" s="1"/>
  <c r="L1920" i="1" s="1"/>
  <c r="L1921" i="1" s="1"/>
  <c r="L1922" i="1" s="1"/>
  <c r="L1923" i="1" s="1"/>
  <c r="O1914" i="1" s="1"/>
  <c r="E1913" i="1"/>
  <c r="E1912" i="1"/>
  <c r="G1911" i="1"/>
  <c r="K1911" i="1" s="1"/>
  <c r="K1910" i="1"/>
  <c r="G1910" i="1"/>
  <c r="G1909" i="1"/>
  <c r="K1909" i="1" s="1"/>
  <c r="K1908" i="1"/>
  <c r="G1908" i="1"/>
  <c r="G1907" i="1"/>
  <c r="K1907" i="1" s="1"/>
  <c r="K1906" i="1"/>
  <c r="G1906" i="1"/>
  <c r="G1905" i="1"/>
  <c r="K1905" i="1" s="1"/>
  <c r="G1904" i="1"/>
  <c r="L1903" i="1"/>
  <c r="E1903" i="1"/>
  <c r="G1901" i="1"/>
  <c r="K1901" i="1" s="1"/>
  <c r="K1900" i="1"/>
  <c r="G1900" i="1"/>
  <c r="G1899" i="1"/>
  <c r="K1899" i="1" s="1"/>
  <c r="K1898" i="1"/>
  <c r="G1898" i="1"/>
  <c r="G1897" i="1"/>
  <c r="K1897" i="1" s="1"/>
  <c r="K1896" i="1"/>
  <c r="G1896" i="1"/>
  <c r="G1895" i="1"/>
  <c r="K1895" i="1" s="1"/>
  <c r="K1894" i="1"/>
  <c r="G1894" i="1"/>
  <c r="G1893" i="1"/>
  <c r="K1893" i="1" s="1"/>
  <c r="K1892" i="1"/>
  <c r="G1892" i="1"/>
  <c r="G1891" i="1"/>
  <c r="K1891" i="1" s="1"/>
  <c r="G1890" i="1"/>
  <c r="K1890" i="1" s="1"/>
  <c r="L1889" i="1"/>
  <c r="E1889" i="1"/>
  <c r="G1887" i="1"/>
  <c r="K1887" i="1" s="1"/>
  <c r="K1886" i="1"/>
  <c r="G1886" i="1"/>
  <c r="G1885" i="1"/>
  <c r="K1885" i="1" s="1"/>
  <c r="K1884" i="1"/>
  <c r="G1884" i="1"/>
  <c r="G1883" i="1"/>
  <c r="K1883" i="1" s="1"/>
  <c r="K1882" i="1"/>
  <c r="G1882" i="1"/>
  <c r="G1881" i="1"/>
  <c r="K1881" i="1" s="1"/>
  <c r="K1880" i="1"/>
  <c r="G1880" i="1"/>
  <c r="G1879" i="1"/>
  <c r="K1879" i="1" s="1"/>
  <c r="K1878" i="1"/>
  <c r="G1878" i="1"/>
  <c r="K1877" i="1"/>
  <c r="G1877" i="1"/>
  <c r="L1876" i="1"/>
  <c r="L1877" i="1" s="1"/>
  <c r="L1878" i="1" s="1"/>
  <c r="L1879" i="1" s="1"/>
  <c r="L1880" i="1" s="1"/>
  <c r="L1881" i="1" s="1"/>
  <c r="L1882" i="1" s="1"/>
  <c r="L1883" i="1" s="1"/>
  <c r="L1884" i="1" s="1"/>
  <c r="L1885" i="1" s="1"/>
  <c r="L1886" i="1" s="1"/>
  <c r="L1887" i="1" s="1"/>
  <c r="L1888" i="1" s="1"/>
  <c r="O1877" i="1" s="1"/>
  <c r="E1876" i="1"/>
  <c r="K1874" i="1"/>
  <c r="G1874" i="1"/>
  <c r="G1873" i="1"/>
  <c r="K1873" i="1" s="1"/>
  <c r="K1872" i="1"/>
  <c r="G1872" i="1"/>
  <c r="G1871" i="1"/>
  <c r="K1871" i="1" s="1"/>
  <c r="K1870" i="1"/>
  <c r="G1870" i="1"/>
  <c r="G1869" i="1"/>
  <c r="K1869" i="1" s="1"/>
  <c r="K1868" i="1"/>
  <c r="G1868" i="1"/>
  <c r="G1867" i="1"/>
  <c r="K1867" i="1" s="1"/>
  <c r="K1866" i="1"/>
  <c r="G1866" i="1"/>
  <c r="G1865" i="1"/>
  <c r="K1865" i="1" s="1"/>
  <c r="L1864" i="1"/>
  <c r="L1865" i="1" s="1"/>
  <c r="L1866" i="1" s="1"/>
  <c r="L1867" i="1" s="1"/>
  <c r="L1868" i="1" s="1"/>
  <c r="L1869" i="1" s="1"/>
  <c r="L1870" i="1" s="1"/>
  <c r="L1871" i="1" s="1"/>
  <c r="L1872" i="1" s="1"/>
  <c r="L1873" i="1" s="1"/>
  <c r="L1874" i="1" s="1"/>
  <c r="L1875" i="1" s="1"/>
  <c r="O1864" i="1" s="1"/>
  <c r="G1864" i="1"/>
  <c r="K1864" i="1" s="1"/>
  <c r="L1863" i="1"/>
  <c r="E1863" i="1"/>
  <c r="G1861" i="1"/>
  <c r="K1861" i="1" s="1"/>
  <c r="K1860" i="1"/>
  <c r="G1860" i="1"/>
  <c r="G1859" i="1"/>
  <c r="K1859" i="1" s="1"/>
  <c r="K1858" i="1"/>
  <c r="G1858" i="1"/>
  <c r="G1857" i="1"/>
  <c r="K1857" i="1" s="1"/>
  <c r="K1856" i="1"/>
  <c r="G1856" i="1"/>
  <c r="G1855" i="1"/>
  <c r="K1855" i="1" s="1"/>
  <c r="K1854" i="1"/>
  <c r="G1854" i="1"/>
  <c r="G1853" i="1"/>
  <c r="K1853" i="1" s="1"/>
  <c r="K1852" i="1"/>
  <c r="G1852" i="1"/>
  <c r="G1851" i="1"/>
  <c r="K1851" i="1" s="1"/>
  <c r="G1850" i="1"/>
  <c r="K1850" i="1" s="1"/>
  <c r="L1849" i="1"/>
  <c r="E1849" i="1"/>
  <c r="G1848" i="1"/>
  <c r="K1848" i="1" s="1"/>
  <c r="L1847" i="1"/>
  <c r="E1847" i="1"/>
  <c r="K1846" i="1"/>
  <c r="G1846" i="1"/>
  <c r="L1845" i="1"/>
  <c r="L1846" i="1" s="1"/>
  <c r="G1845" i="1"/>
  <c r="K1845" i="1" s="1"/>
  <c r="K1844" i="1"/>
  <c r="G1844" i="1"/>
  <c r="O1843" i="1"/>
  <c r="K1843" i="1"/>
  <c r="G1843" i="1"/>
  <c r="L1842" i="1"/>
  <c r="L1843" i="1" s="1"/>
  <c r="L1844" i="1" s="1"/>
  <c r="E1842" i="1"/>
  <c r="G1841" i="1"/>
  <c r="K1841" i="1" s="1"/>
  <c r="K1840" i="1"/>
  <c r="G1840" i="1"/>
  <c r="G1839" i="1"/>
  <c r="K1839" i="1" s="1"/>
  <c r="K1838" i="1"/>
  <c r="G1838" i="1"/>
  <c r="G1837" i="1"/>
  <c r="K1837" i="1" s="1"/>
  <c r="K1836" i="1"/>
  <c r="G1836" i="1"/>
  <c r="G1835" i="1"/>
  <c r="K1835" i="1" s="1"/>
  <c r="K1834" i="1"/>
  <c r="G1834" i="1"/>
  <c r="G1833" i="1"/>
  <c r="K1833" i="1" s="1"/>
  <c r="G1832" i="1"/>
  <c r="K1832" i="1" s="1"/>
  <c r="L1831" i="1"/>
  <c r="E1831" i="1"/>
  <c r="G1829" i="1"/>
  <c r="K1829" i="1" s="1"/>
  <c r="K1828" i="1"/>
  <c r="G1828" i="1"/>
  <c r="G1827" i="1"/>
  <c r="K1827" i="1" s="1"/>
  <c r="K1826" i="1"/>
  <c r="G1826" i="1"/>
  <c r="G1825" i="1"/>
  <c r="K1825" i="1" s="1"/>
  <c r="K1824" i="1"/>
  <c r="G1824" i="1"/>
  <c r="G1823" i="1"/>
  <c r="K1823" i="1" s="1"/>
  <c r="K1822" i="1"/>
  <c r="G1822" i="1"/>
  <c r="K1821" i="1"/>
  <c r="G1821" i="1"/>
  <c r="L1820" i="1"/>
  <c r="L1821" i="1" s="1"/>
  <c r="L1822" i="1" s="1"/>
  <c r="E1820" i="1"/>
  <c r="K1818" i="1"/>
  <c r="G1818" i="1"/>
  <c r="G1817" i="1"/>
  <c r="K1817" i="1" s="1"/>
  <c r="K1816" i="1"/>
  <c r="G1816" i="1"/>
  <c r="G1815" i="1"/>
  <c r="K1815" i="1" s="1"/>
  <c r="K1814" i="1"/>
  <c r="G1814" i="1"/>
  <c r="G1813" i="1"/>
  <c r="K1813" i="1" s="1"/>
  <c r="K1812" i="1"/>
  <c r="G1812" i="1"/>
  <c r="G1811" i="1"/>
  <c r="K1811" i="1" s="1"/>
  <c r="K1810" i="1"/>
  <c r="G1810" i="1"/>
  <c r="G1809" i="1"/>
  <c r="K1809" i="1" s="1"/>
  <c r="K1808" i="1"/>
  <c r="G1808" i="1"/>
  <c r="G1807" i="1"/>
  <c r="K1807" i="1" s="1"/>
  <c r="K1806" i="1"/>
  <c r="G1806" i="1"/>
  <c r="G1805" i="1"/>
  <c r="K1805" i="1" s="1"/>
  <c r="K1804" i="1"/>
  <c r="G1804" i="1"/>
  <c r="K1803" i="1"/>
  <c r="G1803" i="1"/>
  <c r="L1802" i="1"/>
  <c r="L1803" i="1" s="1"/>
  <c r="L1804" i="1" s="1"/>
  <c r="E1802" i="1"/>
  <c r="K1800" i="1"/>
  <c r="G1800" i="1"/>
  <c r="G1799" i="1"/>
  <c r="K1799" i="1" s="1"/>
  <c r="K1798" i="1"/>
  <c r="G1798" i="1"/>
  <c r="G1797" i="1"/>
  <c r="K1797" i="1" s="1"/>
  <c r="K1796" i="1"/>
  <c r="G1796" i="1"/>
  <c r="G1795" i="1"/>
  <c r="K1795" i="1" s="1"/>
  <c r="K1794" i="1"/>
  <c r="G1794" i="1"/>
  <c r="G1793" i="1"/>
  <c r="K1793" i="1" s="1"/>
  <c r="K1792" i="1"/>
  <c r="G1792" i="1"/>
  <c r="K1791" i="1"/>
  <c r="G1791" i="1"/>
  <c r="L1790" i="1"/>
  <c r="L1791" i="1" s="1"/>
  <c r="L1792" i="1" s="1"/>
  <c r="E1790" i="1"/>
  <c r="G1789" i="1"/>
  <c r="K1789" i="1" s="1"/>
  <c r="K1788" i="1"/>
  <c r="G1788" i="1"/>
  <c r="G1787" i="1"/>
  <c r="K1787" i="1" s="1"/>
  <c r="K1786" i="1"/>
  <c r="G1786" i="1"/>
  <c r="G1785" i="1"/>
  <c r="K1785" i="1" s="1"/>
  <c r="K1784" i="1"/>
  <c r="G1784" i="1"/>
  <c r="G1783" i="1"/>
  <c r="K1783" i="1" s="1"/>
  <c r="K1782" i="1"/>
  <c r="G1782" i="1"/>
  <c r="L1781" i="1"/>
  <c r="L1782" i="1" s="1"/>
  <c r="L1783" i="1" s="1"/>
  <c r="L1784" i="1" s="1"/>
  <c r="L1785" i="1" s="1"/>
  <c r="L1786" i="1" s="1"/>
  <c r="L1787" i="1" s="1"/>
  <c r="L1788" i="1" s="1"/>
  <c r="L1789" i="1" s="1"/>
  <c r="O1779" i="1" s="1"/>
  <c r="G1781" i="1"/>
  <c r="K1781" i="1" s="1"/>
  <c r="K1780" i="1"/>
  <c r="G1780" i="1"/>
  <c r="K1779" i="1"/>
  <c r="G1779" i="1"/>
  <c r="L1778" i="1"/>
  <c r="L1779" i="1" s="1"/>
  <c r="L1780" i="1" s="1"/>
  <c r="E1778" i="1"/>
  <c r="K1776" i="1"/>
  <c r="G1776" i="1"/>
  <c r="G1775" i="1"/>
  <c r="K1775" i="1" s="1"/>
  <c r="K1774" i="1"/>
  <c r="G1774" i="1"/>
  <c r="G1773" i="1"/>
  <c r="K1773" i="1" s="1"/>
  <c r="K1772" i="1"/>
  <c r="G1772" i="1"/>
  <c r="G1771" i="1"/>
  <c r="K1771" i="1" s="1"/>
  <c r="K1770" i="1"/>
  <c r="G1770" i="1"/>
  <c r="G1769" i="1"/>
  <c r="K1769" i="1" s="1"/>
  <c r="K1768" i="1"/>
  <c r="G1768" i="1"/>
  <c r="G1767" i="1"/>
  <c r="K1767" i="1" s="1"/>
  <c r="K1766" i="1"/>
  <c r="G1766" i="1"/>
  <c r="G1765" i="1"/>
  <c r="K1765" i="1" s="1"/>
  <c r="K1764" i="1"/>
  <c r="G1764" i="1"/>
  <c r="L1763" i="1"/>
  <c r="L1764" i="1" s="1"/>
  <c r="L1765" i="1" s="1"/>
  <c r="L1766" i="1" s="1"/>
  <c r="L1767" i="1" s="1"/>
  <c r="L1768" i="1" s="1"/>
  <c r="L1769" i="1" s="1"/>
  <c r="L1770" i="1" s="1"/>
  <c r="L1771" i="1" s="1"/>
  <c r="L1772" i="1" s="1"/>
  <c r="L1773" i="1" s="1"/>
  <c r="L1774" i="1" s="1"/>
  <c r="L1775" i="1" s="1"/>
  <c r="L1776" i="1" s="1"/>
  <c r="L1777" i="1" s="1"/>
  <c r="O1761" i="1" s="1"/>
  <c r="G1763" i="1"/>
  <c r="K1763" i="1" s="1"/>
  <c r="K1762" i="1"/>
  <c r="G1762" i="1"/>
  <c r="K1761" i="1"/>
  <c r="G1761" i="1"/>
  <c r="L1760" i="1"/>
  <c r="L1761" i="1" s="1"/>
  <c r="L1762" i="1" s="1"/>
  <c r="E1760" i="1"/>
  <c r="K1758" i="1"/>
  <c r="G1758" i="1"/>
  <c r="G1757" i="1"/>
  <c r="K1757" i="1" s="1"/>
  <c r="K1756" i="1"/>
  <c r="G1756" i="1"/>
  <c r="G1755" i="1"/>
  <c r="K1755" i="1" s="1"/>
  <c r="K1754" i="1"/>
  <c r="G1754" i="1"/>
  <c r="G1753" i="1"/>
  <c r="K1753" i="1" s="1"/>
  <c r="K1752" i="1"/>
  <c r="G1752" i="1"/>
  <c r="G1751" i="1"/>
  <c r="K1751" i="1" s="1"/>
  <c r="K1750" i="1"/>
  <c r="G1750" i="1"/>
  <c r="L1749" i="1"/>
  <c r="L1750" i="1" s="1"/>
  <c r="L1751" i="1" s="1"/>
  <c r="L1752" i="1" s="1"/>
  <c r="L1753" i="1" s="1"/>
  <c r="L1754" i="1" s="1"/>
  <c r="L1755" i="1" s="1"/>
  <c r="L1756" i="1" s="1"/>
  <c r="L1757" i="1" s="1"/>
  <c r="L1758" i="1" s="1"/>
  <c r="L1759" i="1" s="1"/>
  <c r="O1747" i="1" s="1"/>
  <c r="G1749" i="1"/>
  <c r="K1749" i="1" s="1"/>
  <c r="K1748" i="1"/>
  <c r="G1748" i="1"/>
  <c r="K1747" i="1"/>
  <c r="G1747" i="1"/>
  <c r="L1746" i="1"/>
  <c r="L1747" i="1" s="1"/>
  <c r="L1748" i="1" s="1"/>
  <c r="E1746" i="1"/>
  <c r="K1745" i="1"/>
  <c r="G1745" i="1"/>
  <c r="L1744" i="1"/>
  <c r="L1745" i="1" s="1"/>
  <c r="O1745" i="1" s="1"/>
  <c r="E1744" i="1"/>
  <c r="K1742" i="1"/>
  <c r="G1742" i="1"/>
  <c r="G1741" i="1"/>
  <c r="K1741" i="1" s="1"/>
  <c r="K1740" i="1"/>
  <c r="G1740" i="1"/>
  <c r="G1739" i="1"/>
  <c r="K1739" i="1" s="1"/>
  <c r="K1738" i="1"/>
  <c r="G1738" i="1"/>
  <c r="G1737" i="1"/>
  <c r="K1737" i="1" s="1"/>
  <c r="K1736" i="1"/>
  <c r="G1736" i="1"/>
  <c r="G1735" i="1"/>
  <c r="K1735" i="1" s="1"/>
  <c r="K1734" i="1"/>
  <c r="G1734" i="1"/>
  <c r="G1733" i="1"/>
  <c r="K1733" i="1" s="1"/>
  <c r="K1732" i="1"/>
  <c r="G1732" i="1"/>
  <c r="G1731" i="1"/>
  <c r="K1731" i="1" s="1"/>
  <c r="K1730" i="1"/>
  <c r="G1730" i="1"/>
  <c r="G1729" i="1"/>
  <c r="K1729" i="1" s="1"/>
  <c r="K1728" i="1"/>
  <c r="G1728" i="1"/>
  <c r="G1727" i="1"/>
  <c r="K1727" i="1" s="1"/>
  <c r="K1726" i="1"/>
  <c r="G1726" i="1"/>
  <c r="K1725" i="1"/>
  <c r="G1725" i="1"/>
  <c r="L1724" i="1"/>
  <c r="L1725" i="1" s="1"/>
  <c r="L1726" i="1" s="1"/>
  <c r="L1727" i="1" s="1"/>
  <c r="L1728" i="1" s="1"/>
  <c r="L1729" i="1" s="1"/>
  <c r="L1730" i="1" s="1"/>
  <c r="L1731" i="1" s="1"/>
  <c r="L1732" i="1" s="1"/>
  <c r="L1733" i="1" s="1"/>
  <c r="L1734" i="1" s="1"/>
  <c r="L1735" i="1" s="1"/>
  <c r="L1736" i="1" s="1"/>
  <c r="L1737" i="1" s="1"/>
  <c r="L1738" i="1" s="1"/>
  <c r="L1739" i="1" s="1"/>
  <c r="L1740" i="1" s="1"/>
  <c r="L1741" i="1" s="1"/>
  <c r="L1742" i="1" s="1"/>
  <c r="L1743" i="1" s="1"/>
  <c r="O1725" i="1" s="1"/>
  <c r="E1724" i="1"/>
  <c r="K1722" i="1"/>
  <c r="G1722" i="1"/>
  <c r="G1721" i="1"/>
  <c r="K1721" i="1" s="1"/>
  <c r="K1720" i="1"/>
  <c r="G1720" i="1"/>
  <c r="G1719" i="1"/>
  <c r="K1719" i="1" s="1"/>
  <c r="K1718" i="1"/>
  <c r="G1718" i="1"/>
  <c r="G1717" i="1"/>
  <c r="K1717" i="1" s="1"/>
  <c r="K1716" i="1"/>
  <c r="G1716" i="1"/>
  <c r="K1715" i="1"/>
  <c r="G1715" i="1"/>
  <c r="L1714" i="1"/>
  <c r="L1715" i="1" s="1"/>
  <c r="L1716" i="1" s="1"/>
  <c r="L1717" i="1" s="1"/>
  <c r="L1718" i="1" s="1"/>
  <c r="L1719" i="1" s="1"/>
  <c r="L1720" i="1" s="1"/>
  <c r="L1721" i="1" s="1"/>
  <c r="L1722" i="1" s="1"/>
  <c r="L1723" i="1" s="1"/>
  <c r="O1715" i="1" s="1"/>
  <c r="E1714" i="1"/>
  <c r="G1713" i="1"/>
  <c r="K1713" i="1" s="1"/>
  <c r="K1712" i="1"/>
  <c r="G1712" i="1"/>
  <c r="G1711" i="1"/>
  <c r="K1711" i="1" s="1"/>
  <c r="K1710" i="1"/>
  <c r="G1710" i="1"/>
  <c r="G1709" i="1"/>
  <c r="K1709" i="1" s="1"/>
  <c r="K1708" i="1"/>
  <c r="G1708" i="1"/>
  <c r="G1707" i="1"/>
  <c r="K1707" i="1" s="1"/>
  <c r="K1706" i="1"/>
  <c r="G1706" i="1"/>
  <c r="G1705" i="1"/>
  <c r="K1705" i="1" s="1"/>
  <c r="K1704" i="1"/>
  <c r="G1704" i="1"/>
  <c r="G1703" i="1"/>
  <c r="K1703" i="1" s="1"/>
  <c r="L1702" i="1"/>
  <c r="L1703" i="1" s="1"/>
  <c r="L1704" i="1" s="1"/>
  <c r="L1705" i="1" s="1"/>
  <c r="L1706" i="1" s="1"/>
  <c r="L1707" i="1" s="1"/>
  <c r="L1708" i="1" s="1"/>
  <c r="L1709" i="1" s="1"/>
  <c r="L1710" i="1" s="1"/>
  <c r="L1711" i="1" s="1"/>
  <c r="L1712" i="1" s="1"/>
  <c r="L1713" i="1" s="1"/>
  <c r="O1702" i="1" s="1"/>
  <c r="G1702" i="1"/>
  <c r="K1702" i="1" s="1"/>
  <c r="L1701" i="1"/>
  <c r="E1701" i="1"/>
  <c r="K1700" i="1"/>
  <c r="G1700" i="1"/>
  <c r="G1699" i="1"/>
  <c r="K1699" i="1" s="1"/>
  <c r="K1698" i="1"/>
  <c r="G1698" i="1"/>
  <c r="G1697" i="1"/>
  <c r="K1697" i="1" s="1"/>
  <c r="K1696" i="1"/>
  <c r="G1696" i="1"/>
  <c r="G1695" i="1"/>
  <c r="K1695" i="1" s="1"/>
  <c r="K1694" i="1"/>
  <c r="G1694" i="1"/>
  <c r="G1693" i="1"/>
  <c r="K1693" i="1" s="1"/>
  <c r="K1692" i="1"/>
  <c r="G1692" i="1"/>
  <c r="G1691" i="1"/>
  <c r="K1691" i="1" s="1"/>
  <c r="K1690" i="1"/>
  <c r="G1690" i="1"/>
  <c r="G1689" i="1"/>
  <c r="K1689" i="1" s="1"/>
  <c r="L1688" i="1"/>
  <c r="L1689" i="1" s="1"/>
  <c r="L1690" i="1" s="1"/>
  <c r="L1691" i="1" s="1"/>
  <c r="L1692" i="1" s="1"/>
  <c r="L1693" i="1" s="1"/>
  <c r="L1694" i="1" s="1"/>
  <c r="L1695" i="1" s="1"/>
  <c r="L1696" i="1" s="1"/>
  <c r="L1697" i="1" s="1"/>
  <c r="L1698" i="1" s="1"/>
  <c r="L1699" i="1" s="1"/>
  <c r="L1700" i="1" s="1"/>
  <c r="O1688" i="1" s="1"/>
  <c r="G1688" i="1"/>
  <c r="K1688" i="1" s="1"/>
  <c r="L1687" i="1"/>
  <c r="E1687" i="1"/>
  <c r="G1685" i="1"/>
  <c r="K1685" i="1" s="1"/>
  <c r="K1684" i="1"/>
  <c r="G1684" i="1"/>
  <c r="G1683" i="1"/>
  <c r="K1683" i="1" s="1"/>
  <c r="K1682" i="1"/>
  <c r="G1682" i="1"/>
  <c r="G1681" i="1"/>
  <c r="K1681" i="1" s="1"/>
  <c r="K1680" i="1"/>
  <c r="G1680" i="1"/>
  <c r="L1679" i="1"/>
  <c r="L1680" i="1" s="1"/>
  <c r="L1681" i="1" s="1"/>
  <c r="L1682" i="1" s="1"/>
  <c r="L1683" i="1" s="1"/>
  <c r="L1684" i="1" s="1"/>
  <c r="L1685" i="1" s="1"/>
  <c r="L1686" i="1" s="1"/>
  <c r="O1677" i="1" s="1"/>
  <c r="G1679" i="1"/>
  <c r="K1679" i="1" s="1"/>
  <c r="K1678" i="1"/>
  <c r="G1678" i="1"/>
  <c r="K1677" i="1"/>
  <c r="G1677" i="1"/>
  <c r="L1676" i="1"/>
  <c r="L1677" i="1" s="1"/>
  <c r="L1678" i="1" s="1"/>
  <c r="E1676" i="1"/>
  <c r="K1674" i="1"/>
  <c r="G1674" i="1"/>
  <c r="G1673" i="1"/>
  <c r="K1673" i="1" s="1"/>
  <c r="K1672" i="1"/>
  <c r="G1672" i="1"/>
  <c r="G1671" i="1"/>
  <c r="K1671" i="1" s="1"/>
  <c r="K1670" i="1"/>
  <c r="G1670" i="1"/>
  <c r="G1669" i="1"/>
  <c r="K1669" i="1" s="1"/>
  <c r="K1668" i="1"/>
  <c r="G1668" i="1"/>
  <c r="G1667" i="1"/>
  <c r="K1667" i="1" s="1"/>
  <c r="K1666" i="1"/>
  <c r="G1666" i="1"/>
  <c r="L1665" i="1"/>
  <c r="L1666" i="1" s="1"/>
  <c r="L1667" i="1" s="1"/>
  <c r="L1668" i="1" s="1"/>
  <c r="L1669" i="1" s="1"/>
  <c r="L1670" i="1" s="1"/>
  <c r="L1671" i="1" s="1"/>
  <c r="L1672" i="1" s="1"/>
  <c r="L1673" i="1" s="1"/>
  <c r="L1674" i="1" s="1"/>
  <c r="L1675" i="1" s="1"/>
  <c r="O1663" i="1" s="1"/>
  <c r="G1665" i="1"/>
  <c r="K1665" i="1" s="1"/>
  <c r="K1664" i="1"/>
  <c r="G1664" i="1"/>
  <c r="K1663" i="1"/>
  <c r="G1663" i="1"/>
  <c r="L1662" i="1"/>
  <c r="L1663" i="1" s="1"/>
  <c r="L1664" i="1" s="1"/>
  <c r="E1662" i="1"/>
  <c r="G1661" i="1"/>
  <c r="K1661" i="1" s="1"/>
  <c r="K1660" i="1"/>
  <c r="G1660" i="1"/>
  <c r="G1659" i="1"/>
  <c r="K1659" i="1" s="1"/>
  <c r="K1658" i="1"/>
  <c r="G1658" i="1"/>
  <c r="G1657" i="1"/>
  <c r="K1657" i="1" s="1"/>
  <c r="K1656" i="1"/>
  <c r="G1656" i="1"/>
  <c r="G1655" i="1"/>
  <c r="K1655" i="1" s="1"/>
  <c r="K1654" i="1"/>
  <c r="G1654" i="1"/>
  <c r="G1653" i="1"/>
  <c r="K1653" i="1" s="1"/>
  <c r="K1652" i="1"/>
  <c r="G1652" i="1"/>
  <c r="G1651" i="1"/>
  <c r="K1651" i="1" s="1"/>
  <c r="G1650" i="1"/>
  <c r="K1650" i="1" s="1"/>
  <c r="L1649" i="1"/>
  <c r="E1649" i="1"/>
  <c r="G1647" i="1"/>
  <c r="K1647" i="1" s="1"/>
  <c r="K1646" i="1"/>
  <c r="G1646" i="1"/>
  <c r="G1645" i="1"/>
  <c r="K1645" i="1" s="1"/>
  <c r="K1644" i="1"/>
  <c r="G1644" i="1"/>
  <c r="G1643" i="1"/>
  <c r="K1643" i="1" s="1"/>
  <c r="K1642" i="1"/>
  <c r="G1642" i="1"/>
  <c r="G1641" i="1"/>
  <c r="K1641" i="1" s="1"/>
  <c r="K1640" i="1"/>
  <c r="G1640" i="1"/>
  <c r="G1639" i="1"/>
  <c r="K1639" i="1" s="1"/>
  <c r="K1638" i="1"/>
  <c r="G1638" i="1"/>
  <c r="G1637" i="1"/>
  <c r="K1637" i="1" s="1"/>
  <c r="K1636" i="1"/>
  <c r="G1636" i="1"/>
  <c r="K1635" i="1"/>
  <c r="G1635" i="1"/>
  <c r="L1634" i="1"/>
  <c r="L1635" i="1" s="1"/>
  <c r="L1636" i="1" s="1"/>
  <c r="E1634" i="1"/>
  <c r="K1632" i="1"/>
  <c r="G1632" i="1"/>
  <c r="G1631" i="1"/>
  <c r="K1631" i="1" s="1"/>
  <c r="K1630" i="1"/>
  <c r="G1630" i="1"/>
  <c r="G1629" i="1"/>
  <c r="K1629" i="1" s="1"/>
  <c r="K1628" i="1"/>
  <c r="G1628" i="1"/>
  <c r="G1627" i="1"/>
  <c r="K1627" i="1" s="1"/>
  <c r="K1626" i="1"/>
  <c r="G1626" i="1"/>
  <c r="G1625" i="1"/>
  <c r="K1625" i="1" s="1"/>
  <c r="K1624" i="1"/>
  <c r="G1624" i="1"/>
  <c r="G1623" i="1"/>
  <c r="K1623" i="1" s="1"/>
  <c r="K1622" i="1"/>
  <c r="G1622" i="1"/>
  <c r="G1621" i="1"/>
  <c r="K1621" i="1" s="1"/>
  <c r="K1620" i="1"/>
  <c r="G1620" i="1"/>
  <c r="G1619" i="1"/>
  <c r="K1619" i="1" s="1"/>
  <c r="K1618" i="1"/>
  <c r="G1618" i="1"/>
  <c r="G1617" i="1"/>
  <c r="K1617" i="1" s="1"/>
  <c r="L1616" i="1"/>
  <c r="G1616" i="1"/>
  <c r="K1616" i="1" s="1"/>
  <c r="L1615" i="1"/>
  <c r="E1615" i="1"/>
  <c r="K1614" i="1"/>
  <c r="G1614" i="1"/>
  <c r="G1613" i="1"/>
  <c r="K1613" i="1" s="1"/>
  <c r="K1612" i="1"/>
  <c r="G1612" i="1"/>
  <c r="G1611" i="1"/>
  <c r="K1611" i="1" s="1"/>
  <c r="K1610" i="1"/>
  <c r="G1610" i="1"/>
  <c r="G1609" i="1"/>
  <c r="K1609" i="1" s="1"/>
  <c r="K1608" i="1"/>
  <c r="G1608" i="1"/>
  <c r="G1607" i="1"/>
  <c r="K1607" i="1" s="1"/>
  <c r="K1606" i="1"/>
  <c r="G1606" i="1"/>
  <c r="G1605" i="1"/>
  <c r="K1605" i="1" s="1"/>
  <c r="K1604" i="1"/>
  <c r="G1604" i="1"/>
  <c r="K1603" i="1"/>
  <c r="G1603" i="1"/>
  <c r="L1602" i="1"/>
  <c r="L1603" i="1" s="1"/>
  <c r="L1604" i="1" s="1"/>
  <c r="E1602" i="1"/>
  <c r="G1601" i="1"/>
  <c r="K1601" i="1" s="1"/>
  <c r="K1600" i="1"/>
  <c r="G1600" i="1"/>
  <c r="G1599" i="1"/>
  <c r="K1599" i="1" s="1"/>
  <c r="K1598" i="1"/>
  <c r="G1598" i="1"/>
  <c r="G1597" i="1"/>
  <c r="K1597" i="1" s="1"/>
  <c r="K1596" i="1"/>
  <c r="G1596" i="1"/>
  <c r="G1595" i="1"/>
  <c r="K1595" i="1" s="1"/>
  <c r="K1594" i="1"/>
  <c r="G1594" i="1"/>
  <c r="G1593" i="1"/>
  <c r="K1593" i="1" s="1"/>
  <c r="K1592" i="1"/>
  <c r="G1592" i="1"/>
  <c r="G1591" i="1"/>
  <c r="K1591" i="1" s="1"/>
  <c r="G1590" i="1"/>
  <c r="K1590" i="1" s="1"/>
  <c r="L1589" i="1"/>
  <c r="E1589" i="1"/>
  <c r="G1587" i="1"/>
  <c r="K1587" i="1" s="1"/>
  <c r="K1586" i="1"/>
  <c r="G1586" i="1"/>
  <c r="G1585" i="1"/>
  <c r="K1585" i="1" s="1"/>
  <c r="K1584" i="1"/>
  <c r="G1584" i="1"/>
  <c r="G1583" i="1"/>
  <c r="K1583" i="1" s="1"/>
  <c r="K1582" i="1"/>
  <c r="G1582" i="1"/>
  <c r="G1581" i="1"/>
  <c r="K1581" i="1" s="1"/>
  <c r="K1580" i="1"/>
  <c r="G1580" i="1"/>
  <c r="G1579" i="1"/>
  <c r="K1579" i="1" s="1"/>
  <c r="K1578" i="1"/>
  <c r="G1578" i="1"/>
  <c r="G1577" i="1"/>
  <c r="K1577" i="1" s="1"/>
  <c r="L1576" i="1"/>
  <c r="L1577" i="1" s="1"/>
  <c r="L1578" i="1" s="1"/>
  <c r="L1579" i="1" s="1"/>
  <c r="L1580" i="1" s="1"/>
  <c r="L1581" i="1" s="1"/>
  <c r="L1582" i="1" s="1"/>
  <c r="L1583" i="1" s="1"/>
  <c r="L1584" i="1" s="1"/>
  <c r="L1585" i="1" s="1"/>
  <c r="L1586" i="1" s="1"/>
  <c r="L1587" i="1" s="1"/>
  <c r="L1588" i="1" s="1"/>
  <c r="O1576" i="1" s="1"/>
  <c r="G1576" i="1"/>
  <c r="K1576" i="1" s="1"/>
  <c r="L1575" i="1"/>
  <c r="E1575" i="1"/>
  <c r="G1573" i="1"/>
  <c r="K1573" i="1" s="1"/>
  <c r="K1572" i="1"/>
  <c r="G1572" i="1"/>
  <c r="G1571" i="1"/>
  <c r="K1571" i="1" s="1"/>
  <c r="K1570" i="1"/>
  <c r="G1570" i="1"/>
  <c r="G1569" i="1"/>
  <c r="K1569" i="1" s="1"/>
  <c r="K1568" i="1"/>
  <c r="G1568" i="1"/>
  <c r="G1567" i="1"/>
  <c r="K1567" i="1" s="1"/>
  <c r="K1566" i="1"/>
  <c r="G1566" i="1"/>
  <c r="G1565" i="1"/>
  <c r="K1565" i="1" s="1"/>
  <c r="K1564" i="1"/>
  <c r="G1564" i="1"/>
  <c r="G1563" i="1"/>
  <c r="K1563" i="1" s="1"/>
  <c r="G1562" i="1"/>
  <c r="K1562" i="1" s="1"/>
  <c r="L1561" i="1"/>
  <c r="E1561" i="1"/>
  <c r="G1559" i="1"/>
  <c r="K1559" i="1" s="1"/>
  <c r="K1558" i="1"/>
  <c r="G1558" i="1"/>
  <c r="G1557" i="1"/>
  <c r="K1557" i="1" s="1"/>
  <c r="K1556" i="1"/>
  <c r="G1556" i="1"/>
  <c r="G1555" i="1"/>
  <c r="K1555" i="1" s="1"/>
  <c r="K1554" i="1"/>
  <c r="G1554" i="1"/>
  <c r="G1553" i="1"/>
  <c r="K1553" i="1" s="1"/>
  <c r="K1552" i="1"/>
  <c r="G1552" i="1"/>
  <c r="G1551" i="1"/>
  <c r="K1551" i="1" s="1"/>
  <c r="K1550" i="1"/>
  <c r="G1550" i="1"/>
  <c r="G1549" i="1"/>
  <c r="K1549" i="1" s="1"/>
  <c r="L1548" i="1"/>
  <c r="L1549" i="1" s="1"/>
  <c r="L1550" i="1" s="1"/>
  <c r="L1551" i="1" s="1"/>
  <c r="L1552" i="1" s="1"/>
  <c r="L1553" i="1" s="1"/>
  <c r="L1554" i="1" s="1"/>
  <c r="L1555" i="1" s="1"/>
  <c r="L1556" i="1" s="1"/>
  <c r="L1557" i="1" s="1"/>
  <c r="L1558" i="1" s="1"/>
  <c r="L1559" i="1" s="1"/>
  <c r="L1560" i="1" s="1"/>
  <c r="O1548" i="1" s="1"/>
  <c r="G1548" i="1"/>
  <c r="K1548" i="1" s="1"/>
  <c r="L1547" i="1"/>
  <c r="E1547" i="1"/>
  <c r="G1545" i="1"/>
  <c r="K1545" i="1" s="1"/>
  <c r="K1544" i="1"/>
  <c r="G1544" i="1"/>
  <c r="G1543" i="1"/>
  <c r="K1543" i="1" s="1"/>
  <c r="K1542" i="1"/>
  <c r="G1542" i="1"/>
  <c r="G1541" i="1"/>
  <c r="K1541" i="1" s="1"/>
  <c r="K1540" i="1"/>
  <c r="G1540" i="1"/>
  <c r="G1539" i="1"/>
  <c r="K1539" i="1" s="1"/>
  <c r="K1538" i="1"/>
  <c r="G1538" i="1"/>
  <c r="G1537" i="1"/>
  <c r="K1537" i="1" s="1"/>
  <c r="K1536" i="1"/>
  <c r="G1536" i="1"/>
  <c r="G1535" i="1"/>
  <c r="K1535" i="1" s="1"/>
  <c r="G1534" i="1"/>
  <c r="K1534" i="1" s="1"/>
  <c r="L1533" i="1"/>
  <c r="E1533" i="1"/>
  <c r="K1532" i="1"/>
  <c r="G1532" i="1"/>
  <c r="O1531" i="1"/>
  <c r="K1531" i="1"/>
  <c r="G1531" i="1"/>
  <c r="L1530" i="1"/>
  <c r="L1531" i="1" s="1"/>
  <c r="L1532" i="1" s="1"/>
  <c r="E1530" i="1"/>
  <c r="K1528" i="1"/>
  <c r="G1528" i="1"/>
  <c r="L1527" i="1"/>
  <c r="L1528" i="1" s="1"/>
  <c r="L1529" i="1" s="1"/>
  <c r="G1527" i="1"/>
  <c r="K1527" i="1" s="1"/>
  <c r="K1526" i="1"/>
  <c r="G1526" i="1"/>
  <c r="O1525" i="1"/>
  <c r="K1525" i="1"/>
  <c r="G1525" i="1"/>
  <c r="L1524" i="1"/>
  <c r="L1525" i="1" s="1"/>
  <c r="L1526" i="1" s="1"/>
  <c r="E1524" i="1"/>
  <c r="G1523" i="1"/>
  <c r="G1522" i="1"/>
  <c r="K1522" i="1" s="1"/>
  <c r="L1521" i="1"/>
  <c r="G1521" i="1"/>
  <c r="K1521" i="1" s="1"/>
  <c r="L1520" i="1"/>
  <c r="E1520" i="1"/>
  <c r="G1519" i="1"/>
  <c r="K1518" i="1"/>
  <c r="G1518" i="1"/>
  <c r="G1517" i="1"/>
  <c r="K1517" i="1" s="1"/>
  <c r="G1516" i="1"/>
  <c r="K1516" i="1" s="1"/>
  <c r="L1515" i="1"/>
  <c r="E1515" i="1"/>
  <c r="G1514" i="1"/>
  <c r="K1513" i="1"/>
  <c r="G1513" i="1"/>
  <c r="G1512" i="1"/>
  <c r="K1512" i="1" s="1"/>
  <c r="G1511" i="1"/>
  <c r="L1510" i="1"/>
  <c r="E1510" i="1"/>
  <c r="K1509" i="1"/>
  <c r="G1509" i="1"/>
  <c r="K1508" i="1"/>
  <c r="G1508" i="1"/>
  <c r="L1507" i="1"/>
  <c r="L1508" i="1" s="1"/>
  <c r="L1509" i="1" s="1"/>
  <c r="O1508" i="1" s="1"/>
  <c r="E1507" i="1"/>
  <c r="G1506" i="1"/>
  <c r="K1506" i="1" s="1"/>
  <c r="K1505" i="1"/>
  <c r="G1505" i="1"/>
  <c r="K1504" i="1"/>
  <c r="G1504" i="1"/>
  <c r="L1503" i="1"/>
  <c r="L1504" i="1" s="1"/>
  <c r="L1505" i="1" s="1"/>
  <c r="L1506" i="1" s="1"/>
  <c r="O1504" i="1" s="1"/>
  <c r="E1503" i="1"/>
  <c r="G1502" i="1"/>
  <c r="K1502" i="1" s="1"/>
  <c r="L1501" i="1"/>
  <c r="L1502" i="1" s="1"/>
  <c r="O1501" i="1" s="1"/>
  <c r="G1501" i="1"/>
  <c r="K1501" i="1" s="1"/>
  <c r="L1500" i="1"/>
  <c r="E1500" i="1"/>
  <c r="G1499" i="1"/>
  <c r="K1498" i="1"/>
  <c r="G1498" i="1"/>
  <c r="O1497" i="1"/>
  <c r="K1497" i="1"/>
  <c r="G1497" i="1"/>
  <c r="L1496" i="1"/>
  <c r="L1497" i="1" s="1"/>
  <c r="L1498" i="1" s="1"/>
  <c r="L1499" i="1" s="1"/>
  <c r="E1496" i="1"/>
  <c r="G1495" i="1"/>
  <c r="G1494" i="1"/>
  <c r="K1494" i="1" s="1"/>
  <c r="K1493" i="1"/>
  <c r="G1493" i="1"/>
  <c r="G1492" i="1"/>
  <c r="K1491" i="1"/>
  <c r="G1491" i="1"/>
  <c r="K1490" i="1"/>
  <c r="G1490" i="1"/>
  <c r="L1489" i="1"/>
  <c r="L1490" i="1" s="1"/>
  <c r="L1491" i="1" s="1"/>
  <c r="E1489" i="1"/>
  <c r="G1488" i="1"/>
  <c r="K1487" i="1"/>
  <c r="L1486" i="1"/>
  <c r="L1487" i="1" s="1"/>
  <c r="L1488" i="1" s="1"/>
  <c r="O1485" i="1" s="1"/>
  <c r="K1486" i="1"/>
  <c r="K1485" i="1"/>
  <c r="G1485" i="1"/>
  <c r="L1484" i="1"/>
  <c r="L1485" i="1" s="1"/>
  <c r="E1484" i="1"/>
  <c r="G1483" i="1"/>
  <c r="G1482" i="1"/>
  <c r="K1482" i="1" s="1"/>
  <c r="K1481" i="1"/>
  <c r="G1481" i="1"/>
  <c r="G1480" i="1"/>
  <c r="K1480" i="1" s="1"/>
  <c r="G1479" i="1"/>
  <c r="L1478" i="1"/>
  <c r="E1478" i="1"/>
  <c r="G1477" i="1"/>
  <c r="K1476" i="1"/>
  <c r="G1476" i="1"/>
  <c r="G1475" i="1"/>
  <c r="K1475" i="1" s="1"/>
  <c r="K1474" i="1"/>
  <c r="G1474" i="1"/>
  <c r="K1473" i="1"/>
  <c r="G1473" i="1"/>
  <c r="L1472" i="1"/>
  <c r="L1473" i="1" s="1"/>
  <c r="L1474" i="1" s="1"/>
  <c r="L1475" i="1" s="1"/>
  <c r="L1476" i="1" s="1"/>
  <c r="L1477" i="1" s="1"/>
  <c r="O1473" i="1" s="1"/>
  <c r="E1472" i="1"/>
  <c r="G1471" i="1"/>
  <c r="G1470" i="1"/>
  <c r="K1470" i="1" s="1"/>
  <c r="K1469" i="1"/>
  <c r="G1469" i="1"/>
  <c r="G1468" i="1"/>
  <c r="K1468" i="1" s="1"/>
  <c r="K1467" i="1"/>
  <c r="G1467" i="1"/>
  <c r="G1466" i="1"/>
  <c r="K1466" i="1" s="1"/>
  <c r="K1465" i="1"/>
  <c r="G1465" i="1"/>
  <c r="K1464" i="1"/>
  <c r="G1464" i="1"/>
  <c r="L1463" i="1"/>
  <c r="L1464" i="1" s="1"/>
  <c r="L1465" i="1" s="1"/>
  <c r="L1466" i="1" s="1"/>
  <c r="L1467" i="1" s="1"/>
  <c r="L1468" i="1" s="1"/>
  <c r="L1469" i="1" s="1"/>
  <c r="L1470" i="1" s="1"/>
  <c r="L1471" i="1" s="1"/>
  <c r="O1464" i="1" s="1"/>
  <c r="E1463" i="1"/>
  <c r="K1461" i="1"/>
  <c r="G1461" i="1"/>
  <c r="G1460" i="1"/>
  <c r="K1460" i="1" s="1"/>
  <c r="K1459" i="1"/>
  <c r="G1459" i="1"/>
  <c r="K1458" i="1"/>
  <c r="G1458" i="1"/>
  <c r="L1457" i="1"/>
  <c r="L1458" i="1" s="1"/>
  <c r="L1459" i="1" s="1"/>
  <c r="L1460" i="1" s="1"/>
  <c r="L1461" i="1" s="1"/>
  <c r="L1462" i="1" s="1"/>
  <c r="O1458" i="1" s="1"/>
  <c r="E1457" i="1"/>
  <c r="K1455" i="1"/>
  <c r="G1455" i="1"/>
  <c r="G1454" i="1"/>
  <c r="K1454" i="1" s="1"/>
  <c r="K1453" i="1"/>
  <c r="G1453" i="1"/>
  <c r="G1452" i="1"/>
  <c r="K1452" i="1" s="1"/>
  <c r="G1451" i="1"/>
  <c r="L1450" i="1"/>
  <c r="E1450" i="1"/>
  <c r="G1448" i="1"/>
  <c r="K1448" i="1" s="1"/>
  <c r="K1447" i="1"/>
  <c r="G1447" i="1"/>
  <c r="G1446" i="1"/>
  <c r="K1446" i="1" s="1"/>
  <c r="K1445" i="1"/>
  <c r="G1445" i="1"/>
  <c r="G1444" i="1"/>
  <c r="K1444" i="1" s="1"/>
  <c r="L1443" i="1"/>
  <c r="G1443" i="1"/>
  <c r="K1443" i="1" s="1"/>
  <c r="L1442" i="1"/>
  <c r="E1442" i="1"/>
  <c r="G1440" i="1"/>
  <c r="K1440" i="1" s="1"/>
  <c r="K1439" i="1"/>
  <c r="G1439" i="1"/>
  <c r="G1438" i="1"/>
  <c r="K1438" i="1" s="1"/>
  <c r="K1437" i="1"/>
  <c r="G1437" i="1"/>
  <c r="L1436" i="1"/>
  <c r="L1437" i="1" s="1"/>
  <c r="L1438" i="1" s="1"/>
  <c r="L1439" i="1" s="1"/>
  <c r="L1440" i="1" s="1"/>
  <c r="E1436" i="1"/>
  <c r="L1435" i="1"/>
  <c r="G1435" i="1"/>
  <c r="K1435" i="1" s="1"/>
  <c r="K1434" i="1"/>
  <c r="G1434" i="1"/>
  <c r="O1433" i="1"/>
  <c r="K1433" i="1"/>
  <c r="G1433" i="1"/>
  <c r="L1432" i="1"/>
  <c r="L1433" i="1" s="1"/>
  <c r="L1434" i="1" s="1"/>
  <c r="E1432" i="1"/>
  <c r="G1431" i="1"/>
  <c r="K1431" i="1" s="1"/>
  <c r="K1430" i="1"/>
  <c r="G1430" i="1"/>
  <c r="K1429" i="1"/>
  <c r="G1429" i="1"/>
  <c r="L1428" i="1"/>
  <c r="L1429" i="1" s="1"/>
  <c r="L1430" i="1" s="1"/>
  <c r="L1431" i="1" s="1"/>
  <c r="O1429" i="1" s="1"/>
  <c r="E1428" i="1"/>
  <c r="K1427" i="1"/>
  <c r="G1427" i="1"/>
  <c r="L1426" i="1"/>
  <c r="L1427" i="1" s="1"/>
  <c r="O1427" i="1" s="1"/>
  <c r="E1426" i="1"/>
  <c r="K1425" i="1"/>
  <c r="G1425" i="1"/>
  <c r="G1424" i="1"/>
  <c r="K1424" i="1" s="1"/>
  <c r="K1423" i="1"/>
  <c r="G1423" i="1"/>
  <c r="L1422" i="1"/>
  <c r="L1423" i="1" s="1"/>
  <c r="L1424" i="1" s="1"/>
  <c r="L1425" i="1" s="1"/>
  <c r="O1425" i="1" s="1"/>
  <c r="E1422" i="1"/>
  <c r="L1421" i="1"/>
  <c r="O1418" i="1" s="1"/>
  <c r="K1421" i="1"/>
  <c r="K1420" i="1"/>
  <c r="L1419" i="1"/>
  <c r="L1420" i="1" s="1"/>
  <c r="K1419" i="1"/>
  <c r="K1418" i="1"/>
  <c r="K1417" i="1"/>
  <c r="K1416" i="1"/>
  <c r="L1415" i="1"/>
  <c r="L1416" i="1" s="1"/>
  <c r="L1417" i="1" s="1"/>
  <c r="L1418" i="1" s="1"/>
  <c r="K1415" i="1"/>
  <c r="L1414" i="1"/>
  <c r="E1414" i="1"/>
  <c r="K1413" i="1"/>
  <c r="G1413" i="1"/>
  <c r="K1412" i="1"/>
  <c r="G1412" i="1"/>
  <c r="G1411" i="1"/>
  <c r="K1411" i="1" s="1"/>
  <c r="K1410" i="1"/>
  <c r="G1410" i="1"/>
  <c r="G1409" i="1"/>
  <c r="K1409" i="1" s="1"/>
  <c r="K1408" i="1"/>
  <c r="G1408" i="1"/>
  <c r="G1407" i="1"/>
  <c r="L1406" i="1"/>
  <c r="E1406" i="1"/>
  <c r="K1405" i="1"/>
  <c r="G1405" i="1"/>
  <c r="G1404" i="1"/>
  <c r="K1404" i="1" s="1"/>
  <c r="K1403" i="1"/>
  <c r="G1403" i="1"/>
  <c r="G1402" i="1"/>
  <c r="K1402" i="1" s="1"/>
  <c r="K1401" i="1"/>
  <c r="G1401" i="1"/>
  <c r="G1400" i="1"/>
  <c r="K1400" i="1" s="1"/>
  <c r="G1399" i="1"/>
  <c r="K1399" i="1" s="1"/>
  <c r="K1398" i="1"/>
  <c r="G1398" i="1"/>
  <c r="G1397" i="1"/>
  <c r="K1397" i="1" s="1"/>
  <c r="K1396" i="1"/>
  <c r="G1396" i="1"/>
  <c r="G1395" i="1"/>
  <c r="L1394" i="1"/>
  <c r="E1394" i="1"/>
  <c r="K1393" i="1"/>
  <c r="G1393" i="1"/>
  <c r="G1392" i="1"/>
  <c r="K1392" i="1" s="1"/>
  <c r="G1391" i="1"/>
  <c r="L1390" i="1"/>
  <c r="E1390" i="1"/>
  <c r="K1389" i="1"/>
  <c r="G1389" i="1"/>
  <c r="G1388" i="1"/>
  <c r="K1388" i="1" s="1"/>
  <c r="K1387" i="1"/>
  <c r="G1387" i="1"/>
  <c r="K1386" i="1"/>
  <c r="G1386" i="1"/>
  <c r="L1385" i="1"/>
  <c r="L1386" i="1" s="1"/>
  <c r="L1387" i="1" s="1"/>
  <c r="L1388" i="1" s="1"/>
  <c r="L1389" i="1" s="1"/>
  <c r="O1386" i="1" s="1"/>
  <c r="E1385" i="1"/>
  <c r="G1384" i="1"/>
  <c r="K1384" i="1" s="1"/>
  <c r="K1383" i="1"/>
  <c r="G1383" i="1"/>
  <c r="K1382" i="1"/>
  <c r="G1382" i="1"/>
  <c r="G1381" i="1"/>
  <c r="K1381" i="1" s="1"/>
  <c r="K1380" i="1"/>
  <c r="G1380" i="1"/>
  <c r="G1379" i="1"/>
  <c r="K1379" i="1" s="1"/>
  <c r="K1378" i="1"/>
  <c r="G1378" i="1"/>
  <c r="L1377" i="1"/>
  <c r="L1378" i="1" s="1"/>
  <c r="L1379" i="1" s="1"/>
  <c r="L1380" i="1" s="1"/>
  <c r="L1381" i="1" s="1"/>
  <c r="L1382" i="1" s="1"/>
  <c r="L1383" i="1" s="1"/>
  <c r="L1384" i="1" s="1"/>
  <c r="O1382" i="1" s="1"/>
  <c r="E1377" i="1"/>
  <c r="K1376" i="1"/>
  <c r="K1375" i="1"/>
  <c r="K1374" i="1"/>
  <c r="K1373" i="1"/>
  <c r="K1372" i="1"/>
  <c r="K1371" i="1"/>
  <c r="K1370" i="1"/>
  <c r="K1369" i="1"/>
  <c r="K1368" i="1"/>
  <c r="K1367" i="1"/>
  <c r="G1367" i="1"/>
  <c r="L1366" i="1"/>
  <c r="L1367" i="1" s="1"/>
  <c r="L1368" i="1" s="1"/>
  <c r="L1369" i="1" s="1"/>
  <c r="L1370" i="1" s="1"/>
  <c r="L1371" i="1" s="1"/>
  <c r="L1372" i="1" s="1"/>
  <c r="L1373" i="1" s="1"/>
  <c r="L1374" i="1" s="1"/>
  <c r="L1375" i="1" s="1"/>
  <c r="L1376" i="1" s="1"/>
  <c r="O1370" i="1" s="1"/>
  <c r="G1366" i="1"/>
  <c r="K1366" i="1" s="1"/>
  <c r="L1365" i="1"/>
  <c r="E1365" i="1"/>
  <c r="K1364" i="1"/>
  <c r="G1364" i="1"/>
  <c r="G1363" i="1"/>
  <c r="K1363" i="1" s="1"/>
  <c r="K1362" i="1"/>
  <c r="G1362" i="1"/>
  <c r="K1361" i="1"/>
  <c r="G1361" i="1"/>
  <c r="G1360" i="1"/>
  <c r="K1360" i="1" s="1"/>
  <c r="K1359" i="1"/>
  <c r="G1359" i="1"/>
  <c r="G1358" i="1"/>
  <c r="K1358" i="1" s="1"/>
  <c r="L1357" i="1"/>
  <c r="E1357" i="1"/>
  <c r="G1355" i="1"/>
  <c r="K1355" i="1" s="1"/>
  <c r="K1354" i="1"/>
  <c r="G1354" i="1"/>
  <c r="G1353" i="1"/>
  <c r="K1353" i="1" s="1"/>
  <c r="K1352" i="1"/>
  <c r="G1352" i="1"/>
  <c r="G1351" i="1"/>
  <c r="K1351" i="1" s="1"/>
  <c r="K1350" i="1"/>
  <c r="G1350" i="1"/>
  <c r="G1349" i="1"/>
  <c r="K1349" i="1" s="1"/>
  <c r="K1348" i="1"/>
  <c r="G1348" i="1"/>
  <c r="G1347" i="1"/>
  <c r="K1347" i="1" s="1"/>
  <c r="K1346" i="1"/>
  <c r="G1346" i="1"/>
  <c r="G1345" i="1"/>
  <c r="K1345" i="1" s="1"/>
  <c r="K1344" i="1"/>
  <c r="G1344" i="1"/>
  <c r="G1343" i="1"/>
  <c r="K1343" i="1" s="1"/>
  <c r="K1342" i="1"/>
  <c r="G1342" i="1"/>
  <c r="G1341" i="1"/>
  <c r="K1341" i="1" s="1"/>
  <c r="G1340" i="1"/>
  <c r="K1340" i="1" s="1"/>
  <c r="K1339" i="1"/>
  <c r="G1339" i="1"/>
  <c r="G1338" i="1"/>
  <c r="K1338" i="1" s="1"/>
  <c r="K1337" i="1"/>
  <c r="G1337" i="1"/>
  <c r="G1336" i="1"/>
  <c r="K1336" i="1" s="1"/>
  <c r="K1335" i="1"/>
  <c r="G1335" i="1"/>
  <c r="G1334" i="1"/>
  <c r="K1334" i="1" s="1"/>
  <c r="K1333" i="1"/>
  <c r="G1333" i="1"/>
  <c r="G1332" i="1"/>
  <c r="K1332" i="1" s="1"/>
  <c r="K1331" i="1"/>
  <c r="G1331" i="1"/>
  <c r="L1330" i="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O1340" i="1" s="1"/>
  <c r="D1330" i="1"/>
  <c r="E1330" i="1" s="1"/>
  <c r="K1329" i="1"/>
  <c r="K1328" i="1"/>
  <c r="K1327" i="1"/>
  <c r="K1326" i="1"/>
  <c r="K1325" i="1"/>
  <c r="K1324" i="1"/>
  <c r="K1323" i="1"/>
  <c r="K1322" i="1"/>
  <c r="K1321" i="1"/>
  <c r="K1320" i="1"/>
  <c r="L1319" i="1"/>
  <c r="L1320" i="1" s="1"/>
  <c r="L1321" i="1" s="1"/>
  <c r="L1322" i="1" s="1"/>
  <c r="L1323" i="1" s="1"/>
  <c r="L1324" i="1" s="1"/>
  <c r="L1325" i="1" s="1"/>
  <c r="L1326" i="1" s="1"/>
  <c r="L1327" i="1" s="1"/>
  <c r="L1328" i="1" s="1"/>
  <c r="L1329" i="1" s="1"/>
  <c r="O1323" i="1" s="1"/>
  <c r="G1319" i="1"/>
  <c r="K1319" i="1" s="1"/>
  <c r="L1318" i="1"/>
  <c r="E1318" i="1"/>
  <c r="K1317" i="1"/>
  <c r="G1317" i="1"/>
  <c r="G1316" i="1"/>
  <c r="K1316" i="1" s="1"/>
  <c r="G1315" i="1"/>
  <c r="K1315" i="1" s="1"/>
  <c r="K1314" i="1"/>
  <c r="G1314" i="1"/>
  <c r="L1313" i="1"/>
  <c r="L1314" i="1" s="1"/>
  <c r="L1315" i="1" s="1"/>
  <c r="L1316" i="1" s="1"/>
  <c r="L1317" i="1" s="1"/>
  <c r="O1315" i="1" s="1"/>
  <c r="E1313" i="1"/>
  <c r="K1312" i="1"/>
  <c r="K1311" i="1"/>
  <c r="K1310" i="1"/>
  <c r="K1309" i="1"/>
  <c r="K1308" i="1"/>
  <c r="K1307" i="1"/>
  <c r="K1306" i="1"/>
  <c r="K1305" i="1"/>
  <c r="K1304" i="1"/>
  <c r="K1303" i="1"/>
  <c r="K1302" i="1"/>
  <c r="G1302" i="1"/>
  <c r="L1301" i="1"/>
  <c r="L1302" i="1" s="1"/>
  <c r="L1303" i="1" s="1"/>
  <c r="L1304" i="1" s="1"/>
  <c r="L1305" i="1" s="1"/>
  <c r="L1306" i="1" s="1"/>
  <c r="L1307" i="1" s="1"/>
  <c r="L1308" i="1" s="1"/>
  <c r="L1309" i="1" s="1"/>
  <c r="L1310" i="1" s="1"/>
  <c r="L1311" i="1" s="1"/>
  <c r="L1312" i="1" s="1"/>
  <c r="O1306" i="1" s="1"/>
  <c r="E1301" i="1"/>
  <c r="K1300" i="1"/>
  <c r="K1299" i="1"/>
  <c r="K1298" i="1"/>
  <c r="K1297" i="1"/>
  <c r="K1296" i="1"/>
  <c r="K1295" i="1"/>
  <c r="K1294" i="1"/>
  <c r="L1293" i="1"/>
  <c r="L1294" i="1" s="1"/>
  <c r="L1295" i="1" s="1"/>
  <c r="L1296" i="1" s="1"/>
  <c r="L1297" i="1" s="1"/>
  <c r="L1298" i="1" s="1"/>
  <c r="L1299" i="1" s="1"/>
  <c r="L1300" i="1" s="1"/>
  <c r="O1294" i="1" s="1"/>
  <c r="K1293" i="1"/>
  <c r="K1292" i="1"/>
  <c r="K1291" i="1"/>
  <c r="K1290" i="1"/>
  <c r="G1290" i="1"/>
  <c r="L1289" i="1"/>
  <c r="L1290" i="1" s="1"/>
  <c r="L1291" i="1" s="1"/>
  <c r="L1292" i="1" s="1"/>
  <c r="E1289" i="1"/>
  <c r="K1288" i="1"/>
  <c r="K1287" i="1"/>
  <c r="K1286" i="1"/>
  <c r="K1285" i="1"/>
  <c r="K1284" i="1"/>
  <c r="K1283" i="1"/>
  <c r="L1282" i="1"/>
  <c r="L1283" i="1" s="1"/>
  <c r="L1284" i="1" s="1"/>
  <c r="L1285" i="1" s="1"/>
  <c r="L1286" i="1" s="1"/>
  <c r="L1287" i="1" s="1"/>
  <c r="L1288" i="1" s="1"/>
  <c r="O1286" i="1" s="1"/>
  <c r="K1282" i="1"/>
  <c r="G1282" i="1"/>
  <c r="L1281" i="1"/>
  <c r="E1281" i="1"/>
  <c r="K1280" i="1"/>
  <c r="K1279" i="1"/>
  <c r="K1278" i="1"/>
  <c r="K1277" i="1"/>
  <c r="K1276" i="1"/>
  <c r="K1275" i="1"/>
  <c r="K1274" i="1"/>
  <c r="G1274" i="1"/>
  <c r="L1273" i="1"/>
  <c r="E1273" i="1"/>
  <c r="L1272" i="1"/>
  <c r="K1272" i="1"/>
  <c r="K1271" i="1"/>
  <c r="O1270" i="1"/>
  <c r="K1270" i="1"/>
  <c r="K1269" i="1"/>
  <c r="L1268" i="1"/>
  <c r="L1269" i="1" s="1"/>
  <c r="L1270" i="1" s="1"/>
  <c r="L1271" i="1" s="1"/>
  <c r="K1268" i="1"/>
  <c r="K1267" i="1"/>
  <c r="L1266" i="1"/>
  <c r="L1267" i="1" s="1"/>
  <c r="K1266" i="1"/>
  <c r="G1266" i="1"/>
  <c r="L1265" i="1"/>
  <c r="E1265" i="1"/>
  <c r="K1264" i="1"/>
  <c r="K1263" i="1"/>
  <c r="K1262" i="1"/>
  <c r="K1261" i="1"/>
  <c r="K1260" i="1"/>
  <c r="K1259" i="1"/>
  <c r="G1258" i="1"/>
  <c r="K1258" i="1" s="1"/>
  <c r="L1257" i="1"/>
  <c r="E1257" i="1"/>
  <c r="K1256" i="1"/>
  <c r="G1256" i="1"/>
  <c r="G1255" i="1"/>
  <c r="K1255" i="1" s="1"/>
  <c r="K1254" i="1"/>
  <c r="G1254" i="1"/>
  <c r="G1253" i="1"/>
  <c r="K1253" i="1" s="1"/>
  <c r="K1252" i="1"/>
  <c r="G1252" i="1"/>
  <c r="K1251" i="1"/>
  <c r="G1251" i="1"/>
  <c r="G1250" i="1"/>
  <c r="K1250" i="1" s="1"/>
  <c r="L1249" i="1"/>
  <c r="E1249" i="1"/>
  <c r="K1247" i="1"/>
  <c r="G1247" i="1"/>
  <c r="K1246" i="1"/>
  <c r="G1246" i="1"/>
  <c r="G1245" i="1"/>
  <c r="K1245" i="1" s="1"/>
  <c r="K1244" i="1"/>
  <c r="G1244" i="1"/>
  <c r="G1243" i="1"/>
  <c r="K1243" i="1" s="1"/>
  <c r="K1242" i="1"/>
  <c r="G1242" i="1"/>
  <c r="L1241" i="1"/>
  <c r="L1242" i="1" s="1"/>
  <c r="L1243" i="1" s="1"/>
  <c r="L1244" i="1" s="1"/>
  <c r="L1245" i="1" s="1"/>
  <c r="L1246" i="1" s="1"/>
  <c r="L1247" i="1" s="1"/>
  <c r="L1248" i="1" s="1"/>
  <c r="O1245" i="1" s="1"/>
  <c r="K1241" i="1"/>
  <c r="G1241" i="1"/>
  <c r="L1240" i="1"/>
  <c r="E1240" i="1"/>
  <c r="K1239" i="1"/>
  <c r="G1239" i="1"/>
  <c r="K1238" i="1"/>
  <c r="G1238" i="1"/>
  <c r="G1237" i="1"/>
  <c r="K1237" i="1" s="1"/>
  <c r="G1236" i="1"/>
  <c r="K1236" i="1" s="1"/>
  <c r="K1235" i="1"/>
  <c r="G1235" i="1"/>
  <c r="K1234" i="1"/>
  <c r="G1234" i="1"/>
  <c r="G1233" i="1"/>
  <c r="K1233" i="1" s="1"/>
  <c r="K1232" i="1"/>
  <c r="G1232" i="1"/>
  <c r="G1231" i="1"/>
  <c r="K1231" i="1" s="1"/>
  <c r="K1230" i="1"/>
  <c r="G1230" i="1"/>
  <c r="L1229" i="1"/>
  <c r="L1230" i="1" s="1"/>
  <c r="L1231" i="1" s="1"/>
  <c r="L1232" i="1" s="1"/>
  <c r="K1229" i="1"/>
  <c r="G1229" i="1"/>
  <c r="L1228" i="1"/>
  <c r="E1228" i="1"/>
  <c r="K1227" i="1"/>
  <c r="G1227" i="1"/>
  <c r="K1226" i="1"/>
  <c r="G1226" i="1"/>
  <c r="G1225" i="1"/>
  <c r="K1225" i="1" s="1"/>
  <c r="G1224" i="1"/>
  <c r="K1224" i="1" s="1"/>
  <c r="K1223" i="1"/>
  <c r="G1223" i="1"/>
  <c r="G1222" i="1"/>
  <c r="K1222" i="1" s="1"/>
  <c r="G1221" i="1"/>
  <c r="K1221" i="1" s="1"/>
  <c r="K1220" i="1"/>
  <c r="G1220" i="1"/>
  <c r="G1219" i="1"/>
  <c r="K1219" i="1" s="1"/>
  <c r="K1218" i="1"/>
  <c r="G1218" i="1"/>
  <c r="K1217" i="1"/>
  <c r="G1217" i="1"/>
  <c r="L1217" i="1" s="1"/>
  <c r="L1218" i="1" s="1"/>
  <c r="L1219" i="1" s="1"/>
  <c r="L1220" i="1" s="1"/>
  <c r="L1221" i="1" s="1"/>
  <c r="L1222" i="1" s="1"/>
  <c r="L1223" i="1" s="1"/>
  <c r="L1224" i="1" s="1"/>
  <c r="L1225" i="1" s="1"/>
  <c r="L1226" i="1" s="1"/>
  <c r="L1227" i="1" s="1"/>
  <c r="O1221" i="1" s="1"/>
  <c r="L1216" i="1"/>
  <c r="E1216" i="1"/>
  <c r="G1214" i="1"/>
  <c r="K1214" i="1" s="1"/>
  <c r="K1213" i="1"/>
  <c r="G1213" i="1"/>
  <c r="G1212" i="1"/>
  <c r="K1212" i="1" s="1"/>
  <c r="K1211" i="1"/>
  <c r="G1211" i="1"/>
  <c r="G1210" i="1"/>
  <c r="K1210" i="1" s="1"/>
  <c r="K1209" i="1"/>
  <c r="G1209" i="1"/>
  <c r="K1208" i="1"/>
  <c r="G1208" i="1"/>
  <c r="K1207" i="1"/>
  <c r="G1207" i="1"/>
  <c r="G1206" i="1"/>
  <c r="K1206" i="1" s="1"/>
  <c r="G1205" i="1"/>
  <c r="K1205" i="1" s="1"/>
  <c r="K1204" i="1"/>
  <c r="G1204" i="1"/>
  <c r="G1203" i="1"/>
  <c r="L1202" i="1"/>
  <c r="E1202" i="1"/>
  <c r="K1201" i="1"/>
  <c r="K1200" i="1"/>
  <c r="K1199" i="1"/>
  <c r="K1198" i="1"/>
  <c r="K1197" i="1"/>
  <c r="K1196" i="1"/>
  <c r="K1195" i="1"/>
  <c r="G1195" i="1"/>
  <c r="L1195" i="1" s="1"/>
  <c r="L1196" i="1" s="1"/>
  <c r="L1197" i="1" s="1"/>
  <c r="L1198" i="1" s="1"/>
  <c r="L1199" i="1" s="1"/>
  <c r="L1200" i="1" s="1"/>
  <c r="L1201" i="1" s="1"/>
  <c r="O1200" i="1" s="1"/>
  <c r="L1194" i="1"/>
  <c r="E1194" i="1"/>
  <c r="K1193" i="1"/>
  <c r="G1193" i="1"/>
  <c r="K1192" i="1"/>
  <c r="G1192" i="1"/>
  <c r="K1191" i="1"/>
  <c r="G1191" i="1"/>
  <c r="L1191" i="1" s="1"/>
  <c r="L1192" i="1" s="1"/>
  <c r="L1193" i="1" s="1"/>
  <c r="O1192" i="1" s="1"/>
  <c r="L1190" i="1"/>
  <c r="E1190" i="1"/>
  <c r="G1188" i="1"/>
  <c r="K1188" i="1" s="1"/>
  <c r="G1187" i="1"/>
  <c r="K1187" i="1" s="1"/>
  <c r="K1186" i="1"/>
  <c r="G1186" i="1"/>
  <c r="K1185" i="1"/>
  <c r="G1185" i="1"/>
  <c r="G1184" i="1"/>
  <c r="K1184" i="1" s="1"/>
  <c r="G1183" i="1"/>
  <c r="K1183" i="1" s="1"/>
  <c r="K1182" i="1"/>
  <c r="G1182" i="1"/>
  <c r="K1181" i="1"/>
  <c r="G1181" i="1"/>
  <c r="L1181" i="1" s="1"/>
  <c r="L1182" i="1" s="1"/>
  <c r="L1183" i="1" s="1"/>
  <c r="L1184" i="1" s="1"/>
  <c r="L1185" i="1" s="1"/>
  <c r="L1186" i="1" s="1"/>
  <c r="L1187" i="1" s="1"/>
  <c r="L1188" i="1" s="1"/>
  <c r="L1189" i="1" s="1"/>
  <c r="O1187" i="1" s="1"/>
  <c r="L1180" i="1"/>
  <c r="E1180" i="1"/>
  <c r="G1178" i="1"/>
  <c r="K1178" i="1" s="1"/>
  <c r="K1177" i="1"/>
  <c r="G1177" i="1"/>
  <c r="G1176" i="1"/>
  <c r="G1175" i="1"/>
  <c r="K1175" i="1" s="1"/>
  <c r="G1174" i="1"/>
  <c r="K1173" i="1"/>
  <c r="G1173" i="1"/>
  <c r="G1172" i="1"/>
  <c r="K1172" i="1" s="1"/>
  <c r="G1171" i="1"/>
  <c r="K1171" i="1" s="1"/>
  <c r="K1170" i="1"/>
  <c r="G1170" i="1"/>
  <c r="K1169" i="1"/>
  <c r="G1169" i="1"/>
  <c r="G1168" i="1"/>
  <c r="K1168" i="1" s="1"/>
  <c r="L1167" i="1"/>
  <c r="D1167" i="1"/>
  <c r="E1167" i="1" s="1"/>
  <c r="K1166" i="1"/>
  <c r="K1165" i="1"/>
  <c r="K1164" i="1"/>
  <c r="K1163" i="1"/>
  <c r="K1162" i="1"/>
  <c r="K1161" i="1"/>
  <c r="G1160" i="1"/>
  <c r="K1160" i="1" s="1"/>
  <c r="L1159" i="1"/>
  <c r="L1160" i="1" s="1"/>
  <c r="L1161" i="1" s="1"/>
  <c r="L1162" i="1" s="1"/>
  <c r="L1163" i="1" s="1"/>
  <c r="L1164" i="1" s="1"/>
  <c r="L1165" i="1" s="1"/>
  <c r="L1166" i="1" s="1"/>
  <c r="O1164" i="1" s="1"/>
  <c r="E1159" i="1"/>
  <c r="G1158" i="1"/>
  <c r="K1158" i="1" s="1"/>
  <c r="G1157" i="1"/>
  <c r="K1157" i="1" s="1"/>
  <c r="G1156" i="1"/>
  <c r="K1156" i="1" s="1"/>
  <c r="K1155" i="1"/>
  <c r="G1155" i="1"/>
  <c r="K1154" i="1"/>
  <c r="G1154" i="1"/>
  <c r="G1153" i="1"/>
  <c r="K1153" i="1" s="1"/>
  <c r="G1152" i="1"/>
  <c r="K1152" i="1" s="1"/>
  <c r="L1151" i="1"/>
  <c r="L1152" i="1" s="1"/>
  <c r="E1151" i="1"/>
  <c r="K1149" i="1"/>
  <c r="G1149" i="1"/>
  <c r="G1148" i="1"/>
  <c r="K1148" i="1" s="1"/>
  <c r="G1147" i="1"/>
  <c r="K1147" i="1" s="1"/>
  <c r="K1146" i="1"/>
  <c r="G1146" i="1"/>
  <c r="K1145" i="1"/>
  <c r="G1145" i="1"/>
  <c r="G1144" i="1"/>
  <c r="K1144" i="1" s="1"/>
  <c r="G1143" i="1"/>
  <c r="K1143" i="1" s="1"/>
  <c r="G1142" i="1"/>
  <c r="K1142" i="1" s="1"/>
  <c r="K1141" i="1"/>
  <c r="G1141" i="1"/>
  <c r="K1140" i="1"/>
  <c r="G1140" i="1"/>
  <c r="G1139" i="1"/>
  <c r="K1139" i="1" s="1"/>
  <c r="G1138" i="1"/>
  <c r="K1138" i="1" s="1"/>
  <c r="K1137" i="1"/>
  <c r="G1137" i="1"/>
  <c r="K1136" i="1"/>
  <c r="G1136" i="1"/>
  <c r="G1135" i="1"/>
  <c r="K1135" i="1" s="1"/>
  <c r="G1134" i="1"/>
  <c r="K1134" i="1" s="1"/>
  <c r="K1133" i="1"/>
  <c r="G1133" i="1"/>
  <c r="K1132" i="1"/>
  <c r="G1132" i="1"/>
  <c r="G1131" i="1"/>
  <c r="K1131" i="1" s="1"/>
  <c r="L1130" i="1"/>
  <c r="L1131" i="1" s="1"/>
  <c r="L1132" i="1" s="1"/>
  <c r="L1133" i="1" s="1"/>
  <c r="L1134" i="1" s="1"/>
  <c r="L1135" i="1" s="1"/>
  <c r="L1136" i="1" s="1"/>
  <c r="L1137" i="1" s="1"/>
  <c r="L1138" i="1" s="1"/>
  <c r="L1139" i="1" s="1"/>
  <c r="L1140" i="1" s="1"/>
  <c r="L1141" i="1" s="1"/>
  <c r="L1142" i="1" s="1"/>
  <c r="L1143" i="1" s="1"/>
  <c r="L1144" i="1" s="1"/>
  <c r="L1145" i="1" s="1"/>
  <c r="L1146" i="1" s="1"/>
  <c r="L1147" i="1" s="1"/>
  <c r="L1148" i="1" s="1"/>
  <c r="L1149" i="1" s="1"/>
  <c r="L1150" i="1" s="1"/>
  <c r="O1143" i="1" s="1"/>
  <c r="E1130" i="1"/>
  <c r="K1129" i="1"/>
  <c r="G1129" i="1"/>
  <c r="G1128" i="1"/>
  <c r="K1128" i="1" s="1"/>
  <c r="G1127" i="1"/>
  <c r="K1127" i="1" s="1"/>
  <c r="K1126" i="1"/>
  <c r="G1126" i="1"/>
  <c r="K1125" i="1"/>
  <c r="G1125" i="1"/>
  <c r="K1124" i="1"/>
  <c r="G1124" i="1"/>
  <c r="G1123" i="1"/>
  <c r="K1123" i="1" s="1"/>
  <c r="G1122" i="1"/>
  <c r="K1122" i="1" s="1"/>
  <c r="K1121" i="1"/>
  <c r="G1121" i="1"/>
  <c r="K1120" i="1"/>
  <c r="G1120" i="1"/>
  <c r="G1119" i="1"/>
  <c r="K1119" i="1" s="1"/>
  <c r="L1118" i="1"/>
  <c r="E1118" i="1"/>
  <c r="K1117" i="1"/>
  <c r="G1117" i="1"/>
  <c r="G1116" i="1"/>
  <c r="K1116" i="1" s="1"/>
  <c r="G1115" i="1"/>
  <c r="K1115" i="1" s="1"/>
  <c r="G1114" i="1"/>
  <c r="K1114" i="1" s="1"/>
  <c r="L1113" i="1"/>
  <c r="L1114" i="1" s="1"/>
  <c r="L1115" i="1" s="1"/>
  <c r="L1116" i="1" s="1"/>
  <c r="L1117" i="1" s="1"/>
  <c r="O1115" i="1" s="1"/>
  <c r="K1113" i="1"/>
  <c r="G1113" i="1"/>
  <c r="K1112" i="1"/>
  <c r="G1112" i="1"/>
  <c r="G1111" i="1"/>
  <c r="K1111" i="1" s="1"/>
  <c r="L1110" i="1"/>
  <c r="L1111" i="1" s="1"/>
  <c r="L1112" i="1" s="1"/>
  <c r="E1110" i="1"/>
  <c r="K1109" i="1"/>
  <c r="K1108" i="1"/>
  <c r="K1107" i="1"/>
  <c r="K1106" i="1"/>
  <c r="K1105" i="1"/>
  <c r="K1104" i="1"/>
  <c r="K1103" i="1"/>
  <c r="K1102" i="1"/>
  <c r="K1101" i="1"/>
  <c r="K1100" i="1"/>
  <c r="L1099" i="1"/>
  <c r="L1100" i="1" s="1"/>
  <c r="L1101" i="1" s="1"/>
  <c r="L1102" i="1" s="1"/>
  <c r="L1103" i="1" s="1"/>
  <c r="L1104" i="1" s="1"/>
  <c r="L1105" i="1" s="1"/>
  <c r="L1106" i="1" s="1"/>
  <c r="L1107" i="1" s="1"/>
  <c r="L1108" i="1" s="1"/>
  <c r="L1109" i="1" s="1"/>
  <c r="O1104" i="1" s="1"/>
  <c r="K1099" i="1"/>
  <c r="G1099" i="1"/>
  <c r="L1098" i="1"/>
  <c r="E1098" i="1"/>
  <c r="K1097" i="1"/>
  <c r="K1096" i="1"/>
  <c r="K1095" i="1"/>
  <c r="K1094" i="1"/>
  <c r="K1093" i="1"/>
  <c r="K1092" i="1"/>
  <c r="K1091" i="1"/>
  <c r="K1090" i="1"/>
  <c r="K1089" i="1"/>
  <c r="K1088" i="1"/>
  <c r="G1087" i="1"/>
  <c r="K1087" i="1" s="1"/>
  <c r="L1086" i="1"/>
  <c r="E1086" i="1"/>
  <c r="K1085" i="1"/>
  <c r="G1085" i="1"/>
  <c r="K1084" i="1"/>
  <c r="G1084" i="1"/>
  <c r="G1083" i="1"/>
  <c r="K1083" i="1" s="1"/>
  <c r="G1082" i="1"/>
  <c r="K1082" i="1" s="1"/>
  <c r="K1081" i="1"/>
  <c r="G1081" i="1"/>
  <c r="K1080" i="1"/>
  <c r="G1080" i="1"/>
  <c r="G1079" i="1"/>
  <c r="K1079" i="1" s="1"/>
  <c r="L1078" i="1"/>
  <c r="E1078" i="1"/>
  <c r="K1077" i="1"/>
  <c r="G1077" i="1"/>
  <c r="G1076" i="1"/>
  <c r="K1076" i="1" s="1"/>
  <c r="G1075" i="1"/>
  <c r="K1075" i="1" s="1"/>
  <c r="K1074" i="1"/>
  <c r="G1074" i="1"/>
  <c r="K1073" i="1"/>
  <c r="G1073" i="1"/>
  <c r="K1072" i="1"/>
  <c r="G1072" i="1"/>
  <c r="G1071" i="1"/>
  <c r="K1071" i="1" s="1"/>
  <c r="G1070" i="1"/>
  <c r="K1070" i="1" s="1"/>
  <c r="K1069" i="1"/>
  <c r="G1069" i="1"/>
  <c r="K1068" i="1"/>
  <c r="G1068" i="1"/>
  <c r="G1067" i="1"/>
  <c r="K1067" i="1" s="1"/>
  <c r="G1066" i="1"/>
  <c r="K1066" i="1" s="1"/>
  <c r="L1065" i="1"/>
  <c r="L1066" i="1" s="1"/>
  <c r="E1065" i="1"/>
  <c r="G1064" i="1"/>
  <c r="K1064" i="1" s="1"/>
  <c r="G1063" i="1"/>
  <c r="K1063" i="1" s="1"/>
  <c r="G1062" i="1"/>
  <c r="K1062" i="1" s="1"/>
  <c r="K1061" i="1"/>
  <c r="G1061" i="1"/>
  <c r="K1060" i="1"/>
  <c r="G1060" i="1"/>
  <c r="G1059" i="1"/>
  <c r="K1059" i="1" s="1"/>
  <c r="G1058" i="1"/>
  <c r="K1058" i="1" s="1"/>
  <c r="L1057" i="1"/>
  <c r="L1058" i="1" s="1"/>
  <c r="E1057" i="1"/>
  <c r="K1055" i="1"/>
  <c r="G1055" i="1"/>
  <c r="G1054" i="1"/>
  <c r="K1054" i="1" s="1"/>
  <c r="G1053" i="1"/>
  <c r="K1053" i="1" s="1"/>
  <c r="G1052" i="1"/>
  <c r="K1052" i="1" s="1"/>
  <c r="L1051" i="1"/>
  <c r="L1052" i="1" s="1"/>
  <c r="K1051" i="1"/>
  <c r="G1051" i="1"/>
  <c r="K1050" i="1"/>
  <c r="G1050" i="1"/>
  <c r="G1049" i="1"/>
  <c r="K1049" i="1" s="1"/>
  <c r="G1048" i="1"/>
  <c r="K1048" i="1" s="1"/>
  <c r="L1047" i="1"/>
  <c r="L1048" i="1" s="1"/>
  <c r="L1049" i="1" s="1"/>
  <c r="L1050" i="1" s="1"/>
  <c r="K1047" i="1"/>
  <c r="G1047" i="1"/>
  <c r="L1046" i="1"/>
  <c r="E1046" i="1"/>
  <c r="K1045" i="1"/>
  <c r="K1044" i="1"/>
  <c r="K1043" i="1"/>
  <c r="K1042" i="1"/>
  <c r="K1041" i="1"/>
  <c r="K1040" i="1"/>
  <c r="G1040" i="1"/>
  <c r="K1039" i="1"/>
  <c r="G1039" i="1"/>
  <c r="L1038" i="1"/>
  <c r="L1039" i="1" s="1"/>
  <c r="L1040" i="1" s="1"/>
  <c r="L1041" i="1" s="1"/>
  <c r="L1042" i="1" s="1"/>
  <c r="L1043" i="1" s="1"/>
  <c r="L1044" i="1" s="1"/>
  <c r="L1045" i="1" s="1"/>
  <c r="O1044" i="1" s="1"/>
  <c r="E1038" i="1"/>
  <c r="K1037" i="1"/>
  <c r="G1037" i="1"/>
  <c r="K1036" i="1"/>
  <c r="G1036" i="1"/>
  <c r="K1035" i="1"/>
  <c r="G1035" i="1"/>
  <c r="G1034" i="1"/>
  <c r="K1034" i="1" s="1"/>
  <c r="G1033" i="1"/>
  <c r="K1033" i="1" s="1"/>
  <c r="L1032" i="1"/>
  <c r="L1033" i="1" s="1"/>
  <c r="K1032" i="1"/>
  <c r="G1032" i="1"/>
  <c r="K1031" i="1"/>
  <c r="G1031" i="1"/>
  <c r="L1030" i="1"/>
  <c r="L1031" i="1" s="1"/>
  <c r="E1030" i="1"/>
  <c r="K1028" i="1"/>
  <c r="G1028" i="1"/>
  <c r="K1027" i="1"/>
  <c r="G1027" i="1"/>
  <c r="K1026" i="1"/>
  <c r="G1026" i="1"/>
  <c r="G1025" i="1"/>
  <c r="K1025" i="1" s="1"/>
  <c r="K1024" i="1"/>
  <c r="G1024" i="1"/>
  <c r="K1023" i="1"/>
  <c r="G1023" i="1"/>
  <c r="K1022" i="1"/>
  <c r="G1022" i="1"/>
  <c r="G1021" i="1"/>
  <c r="K1021" i="1" s="1"/>
  <c r="G1020" i="1"/>
  <c r="K1020" i="1" s="1"/>
  <c r="K1019" i="1"/>
  <c r="G1019" i="1"/>
  <c r="K1018" i="1"/>
  <c r="G1018" i="1"/>
  <c r="K1017" i="1"/>
  <c r="G1017" i="1"/>
  <c r="G1016" i="1"/>
  <c r="K1016" i="1" s="1"/>
  <c r="K1015" i="1"/>
  <c r="G1015" i="1"/>
  <c r="K1014" i="1"/>
  <c r="G1014" i="1"/>
  <c r="K1013" i="1"/>
  <c r="G1013" i="1"/>
  <c r="G1012" i="1"/>
  <c r="K1012" i="1" s="1"/>
  <c r="K1011" i="1"/>
  <c r="G1011" i="1"/>
  <c r="K1010" i="1"/>
  <c r="G1010" i="1"/>
  <c r="K1009" i="1"/>
  <c r="G1009" i="1"/>
  <c r="L1008" i="1"/>
  <c r="L1009" i="1" s="1"/>
  <c r="L1010" i="1" s="1"/>
  <c r="L1011" i="1" s="1"/>
  <c r="L1012" i="1" s="1"/>
  <c r="L1013" i="1" s="1"/>
  <c r="L1014" i="1" s="1"/>
  <c r="L1015" i="1" s="1"/>
  <c r="L1016" i="1" s="1"/>
  <c r="L1017" i="1" s="1"/>
  <c r="L1018" i="1" s="1"/>
  <c r="L1019" i="1" s="1"/>
  <c r="L1020" i="1" s="1"/>
  <c r="L1021" i="1" s="1"/>
  <c r="L1022" i="1" s="1"/>
  <c r="L1023" i="1" s="1"/>
  <c r="L1024" i="1" s="1"/>
  <c r="L1025" i="1" s="1"/>
  <c r="L1026" i="1" s="1"/>
  <c r="L1027" i="1" s="1"/>
  <c r="L1028" i="1" s="1"/>
  <c r="L1029" i="1" s="1"/>
  <c r="O1020" i="1" s="1"/>
  <c r="E1008" i="1"/>
  <c r="K1007" i="1"/>
  <c r="G1006" i="1"/>
  <c r="K1006" i="1" s="1"/>
  <c r="K1005" i="1"/>
  <c r="G1005" i="1"/>
  <c r="K1004" i="1"/>
  <c r="G1004" i="1"/>
  <c r="K1003" i="1"/>
  <c r="G1003" i="1"/>
  <c r="G1002" i="1"/>
  <c r="K1002" i="1" s="1"/>
  <c r="G1001" i="1"/>
  <c r="K1001" i="1" s="1"/>
  <c r="K1000" i="1"/>
  <c r="G1000" i="1"/>
  <c r="K999" i="1"/>
  <c r="G999" i="1"/>
  <c r="K998" i="1"/>
  <c r="G998" i="1"/>
  <c r="G997" i="1"/>
  <c r="K997" i="1" s="1"/>
  <c r="K996" i="1"/>
  <c r="G996" i="1"/>
  <c r="K995" i="1"/>
  <c r="G995" i="1"/>
  <c r="E994" i="1"/>
  <c r="D994" i="1"/>
  <c r="L994" i="1" s="1"/>
  <c r="L995" i="1" s="1"/>
  <c r="L996" i="1" s="1"/>
  <c r="L997" i="1" s="1"/>
  <c r="L998" i="1" s="1"/>
  <c r="L999" i="1" s="1"/>
  <c r="L1000" i="1" s="1"/>
  <c r="L1001" i="1" s="1"/>
  <c r="L1002" i="1" s="1"/>
  <c r="L1003" i="1" s="1"/>
  <c r="L1004" i="1" s="1"/>
  <c r="L1005" i="1" s="1"/>
  <c r="L1006" i="1" s="1"/>
  <c r="L1007" i="1" s="1"/>
  <c r="O1001" i="1" s="1"/>
  <c r="K992" i="1"/>
  <c r="K991" i="1"/>
  <c r="G991" i="1"/>
  <c r="K990" i="1"/>
  <c r="G990" i="1"/>
  <c r="K989" i="1"/>
  <c r="G989" i="1"/>
  <c r="G988" i="1"/>
  <c r="K988" i="1" s="1"/>
  <c r="K987" i="1"/>
  <c r="G987" i="1"/>
  <c r="K986" i="1"/>
  <c r="G986" i="1"/>
  <c r="K985" i="1"/>
  <c r="G985" i="1"/>
  <c r="K984" i="1"/>
  <c r="G984" i="1"/>
  <c r="G983" i="1"/>
  <c r="K983" i="1" s="1"/>
  <c r="K982" i="1"/>
  <c r="G982" i="1"/>
  <c r="G981" i="1"/>
  <c r="K981" i="1" s="1"/>
  <c r="K980" i="1"/>
  <c r="G980" i="1"/>
  <c r="G979" i="1"/>
  <c r="K979" i="1" s="1"/>
  <c r="K978" i="1"/>
  <c r="G978" i="1"/>
  <c r="L977" i="1"/>
  <c r="L978" i="1" s="1"/>
  <c r="E977" i="1"/>
  <c r="K975" i="1"/>
  <c r="G975" i="1"/>
  <c r="G974" i="1"/>
  <c r="K974" i="1" s="1"/>
  <c r="K973" i="1"/>
  <c r="G973" i="1"/>
  <c r="G972" i="1"/>
  <c r="K972" i="1" s="1"/>
  <c r="G971" i="1"/>
  <c r="K971" i="1" s="1"/>
  <c r="K970" i="1"/>
  <c r="G970" i="1"/>
  <c r="G969" i="1"/>
  <c r="K969" i="1" s="1"/>
  <c r="K968" i="1"/>
  <c r="G968" i="1"/>
  <c r="G967" i="1"/>
  <c r="K967" i="1" s="1"/>
  <c r="K966" i="1"/>
  <c r="G966" i="1"/>
  <c r="G965" i="1"/>
  <c r="L964" i="1"/>
  <c r="E964" i="1"/>
  <c r="K963" i="1"/>
  <c r="G963" i="1"/>
  <c r="L962" i="1"/>
  <c r="L963" i="1" s="1"/>
  <c r="E962" i="1"/>
  <c r="K960" i="1"/>
  <c r="G960" i="1"/>
  <c r="G959" i="1"/>
  <c r="K959" i="1" s="1"/>
  <c r="K958" i="1"/>
  <c r="G958" i="1"/>
  <c r="G957" i="1"/>
  <c r="K957" i="1" s="1"/>
  <c r="K956" i="1"/>
  <c r="G956" i="1"/>
  <c r="G955" i="1"/>
  <c r="K955" i="1" s="1"/>
  <c r="K954" i="1"/>
  <c r="G954" i="1"/>
  <c r="G953" i="1"/>
  <c r="K953" i="1" s="1"/>
  <c r="K952" i="1"/>
  <c r="G952" i="1"/>
  <c r="G951" i="1"/>
  <c r="K951" i="1" s="1"/>
  <c r="K950" i="1"/>
  <c r="G950" i="1"/>
  <c r="G949" i="1"/>
  <c r="K949" i="1" s="1"/>
  <c r="K948" i="1"/>
  <c r="G948" i="1"/>
  <c r="G947" i="1"/>
  <c r="K947" i="1" s="1"/>
  <c r="G946" i="1"/>
  <c r="K946" i="1" s="1"/>
  <c r="K945" i="1"/>
  <c r="G945" i="1"/>
  <c r="G944" i="1"/>
  <c r="K944" i="1" s="1"/>
  <c r="K943" i="1"/>
  <c r="G943" i="1"/>
  <c r="G942" i="1"/>
  <c r="K942" i="1" s="1"/>
  <c r="K941" i="1"/>
  <c r="G941" i="1"/>
  <c r="G940" i="1"/>
  <c r="K940" i="1" s="1"/>
  <c r="K939" i="1"/>
  <c r="G939" i="1"/>
  <c r="G938" i="1"/>
  <c r="K938" i="1" s="1"/>
  <c r="K937" i="1"/>
  <c r="G937" i="1"/>
  <c r="D936" i="1"/>
  <c r="K935" i="1"/>
  <c r="G935" i="1"/>
  <c r="G934" i="1"/>
  <c r="K934" i="1" s="1"/>
  <c r="K933" i="1"/>
  <c r="G933" i="1"/>
  <c r="G932" i="1"/>
  <c r="L931" i="1"/>
  <c r="E931" i="1"/>
  <c r="K930" i="1"/>
  <c r="G930" i="1"/>
  <c r="G929" i="1"/>
  <c r="K929" i="1" s="1"/>
  <c r="K928" i="1"/>
  <c r="G928" i="1"/>
  <c r="L927" i="1"/>
  <c r="L928" i="1" s="1"/>
  <c r="E927" i="1"/>
  <c r="G926" i="1"/>
  <c r="K926" i="1" s="1"/>
  <c r="K925" i="1"/>
  <c r="G925" i="1"/>
  <c r="G924" i="1"/>
  <c r="K924" i="1" s="1"/>
  <c r="K923" i="1"/>
  <c r="G923" i="1"/>
  <c r="L922" i="1"/>
  <c r="L923" i="1" s="1"/>
  <c r="L924" i="1" s="1"/>
  <c r="L925" i="1" s="1"/>
  <c r="L926" i="1" s="1"/>
  <c r="E922" i="1"/>
  <c r="G921" i="1"/>
  <c r="K921" i="1" s="1"/>
  <c r="K920" i="1"/>
  <c r="G920" i="1"/>
  <c r="G919" i="1"/>
  <c r="K919" i="1" s="1"/>
  <c r="K918" i="1"/>
  <c r="G918" i="1"/>
  <c r="L917" i="1"/>
  <c r="L918" i="1" s="1"/>
  <c r="E917" i="1"/>
  <c r="G916" i="1"/>
  <c r="K916" i="1" s="1"/>
  <c r="K915" i="1"/>
  <c r="G915" i="1"/>
  <c r="L914" i="1"/>
  <c r="L915" i="1" s="1"/>
  <c r="L916" i="1" s="1"/>
  <c r="G914" i="1"/>
  <c r="K914" i="1" s="1"/>
  <c r="L913" i="1"/>
  <c r="E913" i="1"/>
  <c r="G912" i="1"/>
  <c r="K911" i="1"/>
  <c r="G911" i="1"/>
  <c r="G910" i="1"/>
  <c r="L909" i="1"/>
  <c r="E909" i="1"/>
  <c r="K908" i="1"/>
  <c r="G908" i="1"/>
  <c r="G907" i="1"/>
  <c r="K907" i="1" s="1"/>
  <c r="K906" i="1"/>
  <c r="G906" i="1"/>
  <c r="L905" i="1"/>
  <c r="L906" i="1" s="1"/>
  <c r="G905" i="1"/>
  <c r="K905" i="1" s="1"/>
  <c r="L904" i="1"/>
  <c r="E904" i="1"/>
  <c r="K903" i="1"/>
  <c r="G903" i="1"/>
  <c r="G902" i="1"/>
  <c r="K902" i="1" s="1"/>
  <c r="K901" i="1"/>
  <c r="G901" i="1"/>
  <c r="G900" i="1"/>
  <c r="K900" i="1" s="1"/>
  <c r="K899" i="1"/>
  <c r="G899" i="1"/>
  <c r="L898" i="1"/>
  <c r="L899" i="1" s="1"/>
  <c r="L900" i="1" s="1"/>
  <c r="L901" i="1" s="1"/>
  <c r="L902" i="1" s="1"/>
  <c r="L903" i="1" s="1"/>
  <c r="G898" i="1"/>
  <c r="K898" i="1" s="1"/>
  <c r="L897" i="1"/>
  <c r="E897" i="1"/>
  <c r="K896" i="1"/>
  <c r="G896" i="1"/>
  <c r="G895" i="1"/>
  <c r="K895" i="1" s="1"/>
  <c r="K894" i="1"/>
  <c r="G894" i="1"/>
  <c r="L893" i="1"/>
  <c r="L894" i="1" s="1"/>
  <c r="L895" i="1" s="1"/>
  <c r="L896" i="1" s="1"/>
  <c r="E893" i="1"/>
  <c r="G892" i="1"/>
  <c r="K892" i="1" s="1"/>
  <c r="K891" i="1"/>
  <c r="G891" i="1"/>
  <c r="G890" i="1"/>
  <c r="L889" i="1"/>
  <c r="E889" i="1"/>
  <c r="K888" i="1"/>
  <c r="G888" i="1"/>
  <c r="G887" i="1"/>
  <c r="K887" i="1" s="1"/>
  <c r="K886" i="1"/>
  <c r="G886" i="1"/>
  <c r="G885" i="1"/>
  <c r="K885" i="1" s="1"/>
  <c r="K884" i="1"/>
  <c r="G884" i="1"/>
  <c r="G883" i="1"/>
  <c r="K883" i="1" s="1"/>
  <c r="K882" i="1"/>
  <c r="G882" i="1"/>
  <c r="G881" i="1"/>
  <c r="K881" i="1" s="1"/>
  <c r="K880" i="1"/>
  <c r="G880" i="1"/>
  <c r="L879" i="1"/>
  <c r="L880" i="1" s="1"/>
  <c r="L881" i="1" s="1"/>
  <c r="L882" i="1" s="1"/>
  <c r="L883" i="1" s="1"/>
  <c r="L884" i="1" s="1"/>
  <c r="L885" i="1" s="1"/>
  <c r="L886" i="1" s="1"/>
  <c r="L887" i="1" s="1"/>
  <c r="L888" i="1" s="1"/>
  <c r="E879" i="1"/>
  <c r="G878" i="1"/>
  <c r="K878" i="1" s="1"/>
  <c r="K877" i="1"/>
  <c r="G877" i="1"/>
  <c r="G876" i="1"/>
  <c r="L875" i="1"/>
  <c r="E875" i="1"/>
  <c r="K874" i="1"/>
  <c r="G874" i="1"/>
  <c r="G873" i="1"/>
  <c r="K873" i="1" s="1"/>
  <c r="K872" i="1"/>
  <c r="G872" i="1"/>
  <c r="G871" i="1"/>
  <c r="K871" i="1" s="1"/>
  <c r="K870" i="1"/>
  <c r="G870" i="1"/>
  <c r="G869" i="1"/>
  <c r="K869" i="1" s="1"/>
  <c r="K868" i="1"/>
  <c r="G868" i="1"/>
  <c r="G867" i="1"/>
  <c r="K867" i="1" s="1"/>
  <c r="K866" i="1"/>
  <c r="G866" i="1"/>
  <c r="G865" i="1"/>
  <c r="K865" i="1" s="1"/>
  <c r="K864" i="1"/>
  <c r="G864" i="1"/>
  <c r="L863" i="1"/>
  <c r="L864" i="1" s="1"/>
  <c r="G863" i="1"/>
  <c r="K863" i="1" s="1"/>
  <c r="L862" i="1"/>
  <c r="E862" i="1"/>
  <c r="K861" i="1"/>
  <c r="G861" i="1"/>
  <c r="G860" i="1"/>
  <c r="K860" i="1" s="1"/>
  <c r="K859" i="1"/>
  <c r="G859" i="1"/>
  <c r="L858" i="1"/>
  <c r="L859" i="1" s="1"/>
  <c r="L860" i="1" s="1"/>
  <c r="L861" i="1" s="1"/>
  <c r="E858" i="1"/>
  <c r="G857" i="1"/>
  <c r="K857" i="1" s="1"/>
  <c r="K856" i="1"/>
  <c r="G856" i="1"/>
  <c r="G855" i="1"/>
  <c r="K855" i="1" s="1"/>
  <c r="K854" i="1"/>
  <c r="G854" i="1"/>
  <c r="G853" i="1"/>
  <c r="K853" i="1" s="1"/>
  <c r="K852" i="1"/>
  <c r="G852" i="1"/>
  <c r="G851" i="1"/>
  <c r="K851" i="1" s="1"/>
  <c r="K850" i="1"/>
  <c r="G850" i="1"/>
  <c r="L849" i="1"/>
  <c r="L850" i="1" s="1"/>
  <c r="G849" i="1"/>
  <c r="K849" i="1" s="1"/>
  <c r="L848" i="1"/>
  <c r="E848" i="1"/>
  <c r="K847" i="1"/>
  <c r="G847" i="1"/>
  <c r="G846" i="1"/>
  <c r="K846" i="1" s="1"/>
  <c r="K845" i="1"/>
  <c r="G845" i="1"/>
  <c r="G844" i="1"/>
  <c r="K844" i="1" s="1"/>
  <c r="K843" i="1"/>
  <c r="G843" i="1"/>
  <c r="G842" i="1"/>
  <c r="K842" i="1" s="1"/>
  <c r="K841" i="1"/>
  <c r="G841" i="1"/>
  <c r="G840" i="1"/>
  <c r="K840" i="1" s="1"/>
  <c r="K839" i="1"/>
  <c r="G839" i="1"/>
  <c r="L838" i="1"/>
  <c r="L839" i="1" s="1"/>
  <c r="E838" i="1"/>
  <c r="G837" i="1"/>
  <c r="K837" i="1" s="1"/>
  <c r="K836" i="1"/>
  <c r="G836" i="1"/>
  <c r="G835" i="1"/>
  <c r="K835" i="1" s="1"/>
  <c r="K834" i="1"/>
  <c r="G834" i="1"/>
  <c r="L833" i="1"/>
  <c r="L834" i="1" s="1"/>
  <c r="L835" i="1" s="1"/>
  <c r="L836" i="1" s="1"/>
  <c r="L837" i="1" s="1"/>
  <c r="E833" i="1"/>
  <c r="G832" i="1"/>
  <c r="G831" i="1"/>
  <c r="K831" i="1" s="1"/>
  <c r="K830" i="1"/>
  <c r="G830" i="1"/>
  <c r="G829" i="1"/>
  <c r="K829" i="1" s="1"/>
  <c r="K828" i="1"/>
  <c r="G828" i="1"/>
  <c r="G827" i="1"/>
  <c r="K827" i="1" s="1"/>
  <c r="K826" i="1"/>
  <c r="G826" i="1"/>
  <c r="G825" i="1"/>
  <c r="K825" i="1" s="1"/>
  <c r="K824" i="1"/>
  <c r="G824" i="1"/>
  <c r="G823" i="1"/>
  <c r="K823" i="1" s="1"/>
  <c r="K822" i="1"/>
  <c r="G822" i="1"/>
  <c r="L821" i="1"/>
  <c r="L822" i="1" s="1"/>
  <c r="E821" i="1"/>
  <c r="G820" i="1"/>
  <c r="K820" i="1" s="1"/>
  <c r="K819" i="1"/>
  <c r="G819" i="1"/>
  <c r="G818" i="1"/>
  <c r="K818" i="1" s="1"/>
  <c r="K817" i="1"/>
  <c r="G817" i="1"/>
  <c r="G816" i="1"/>
  <c r="K816" i="1" s="1"/>
  <c r="K815" i="1"/>
  <c r="G815" i="1"/>
  <c r="G814" i="1"/>
  <c r="K814" i="1" s="1"/>
  <c r="K813" i="1"/>
  <c r="G813" i="1"/>
  <c r="G812" i="1"/>
  <c r="K812" i="1" s="1"/>
  <c r="K811" i="1"/>
  <c r="G811" i="1"/>
  <c r="L810" i="1"/>
  <c r="L811" i="1" s="1"/>
  <c r="L812" i="1" s="1"/>
  <c r="L813" i="1" s="1"/>
  <c r="L814" i="1" s="1"/>
  <c r="L815" i="1" s="1"/>
  <c r="L816" i="1" s="1"/>
  <c r="L817" i="1" s="1"/>
  <c r="L818" i="1" s="1"/>
  <c r="L819" i="1" s="1"/>
  <c r="L820" i="1" s="1"/>
  <c r="E810" i="1"/>
  <c r="G809" i="1"/>
  <c r="K809" i="1" s="1"/>
  <c r="K808" i="1"/>
  <c r="G808" i="1"/>
  <c r="G807" i="1"/>
  <c r="K807" i="1" s="1"/>
  <c r="K806" i="1"/>
  <c r="G806" i="1"/>
  <c r="G805" i="1"/>
  <c r="K805" i="1" s="1"/>
  <c r="K804" i="1"/>
  <c r="G804" i="1"/>
  <c r="G803" i="1"/>
  <c r="K803" i="1" s="1"/>
  <c r="K802" i="1"/>
  <c r="G802" i="1"/>
  <c r="G801" i="1"/>
  <c r="L800" i="1"/>
  <c r="E800" i="1"/>
  <c r="K799" i="1"/>
  <c r="G799" i="1"/>
  <c r="G798" i="1"/>
  <c r="K798" i="1" s="1"/>
  <c r="K797" i="1"/>
  <c r="G797" i="1"/>
  <c r="G796" i="1"/>
  <c r="K796" i="1" s="1"/>
  <c r="K795" i="1"/>
  <c r="G795" i="1"/>
  <c r="G794" i="1"/>
  <c r="K794" i="1" s="1"/>
  <c r="K793" i="1"/>
  <c r="G793" i="1"/>
  <c r="G792" i="1"/>
  <c r="K792" i="1" s="1"/>
  <c r="K791" i="1"/>
  <c r="G791" i="1"/>
  <c r="G790" i="1"/>
  <c r="K790" i="1" s="1"/>
  <c r="K789" i="1"/>
  <c r="G789" i="1"/>
  <c r="L788" i="1"/>
  <c r="L789" i="1" s="1"/>
  <c r="L790" i="1" s="1"/>
  <c r="L791" i="1" s="1"/>
  <c r="L792" i="1" s="1"/>
  <c r="L793" i="1" s="1"/>
  <c r="L794" i="1" s="1"/>
  <c r="L795" i="1" s="1"/>
  <c r="L796" i="1" s="1"/>
  <c r="L797" i="1" s="1"/>
  <c r="L798" i="1" s="1"/>
  <c r="L799" i="1" s="1"/>
  <c r="E788" i="1"/>
  <c r="G787" i="1"/>
  <c r="K787" i="1" s="1"/>
  <c r="K786" i="1"/>
  <c r="G786" i="1"/>
  <c r="G785" i="1"/>
  <c r="K785" i="1" s="1"/>
  <c r="K784" i="1"/>
  <c r="G784" i="1"/>
  <c r="G783" i="1"/>
  <c r="K783" i="1" s="1"/>
  <c r="K782" i="1"/>
  <c r="G782" i="1"/>
  <c r="G781" i="1"/>
  <c r="K781" i="1" s="1"/>
  <c r="K780" i="1"/>
  <c r="G780" i="1"/>
  <c r="G779" i="1"/>
  <c r="K779" i="1" s="1"/>
  <c r="K778" i="1"/>
  <c r="G778" i="1"/>
  <c r="L777" i="1"/>
  <c r="L778" i="1" s="1"/>
  <c r="G777" i="1"/>
  <c r="K777" i="1" s="1"/>
  <c r="L776" i="1"/>
  <c r="E776" i="1"/>
  <c r="K775" i="1"/>
  <c r="G775" i="1"/>
  <c r="G774" i="1"/>
  <c r="K774" i="1" s="1"/>
  <c r="K773" i="1"/>
  <c r="G773" i="1"/>
  <c r="L772" i="1"/>
  <c r="L773" i="1" s="1"/>
  <c r="L774" i="1" s="1"/>
  <c r="L775" i="1" s="1"/>
  <c r="E772" i="1"/>
  <c r="G771" i="1"/>
  <c r="K771" i="1" s="1"/>
  <c r="K770" i="1"/>
  <c r="G770" i="1"/>
  <c r="G769" i="1"/>
  <c r="K769" i="1" s="1"/>
  <c r="K768" i="1"/>
  <c r="G768" i="1"/>
  <c r="L767" i="1"/>
  <c r="L768" i="1" s="1"/>
  <c r="L769" i="1" s="1"/>
  <c r="L770" i="1" s="1"/>
  <c r="L771" i="1" s="1"/>
  <c r="E767" i="1"/>
  <c r="G766" i="1"/>
  <c r="K766" i="1" s="1"/>
  <c r="K765" i="1"/>
  <c r="G765" i="1"/>
  <c r="G764" i="1"/>
  <c r="K764" i="1" s="1"/>
  <c r="K763" i="1"/>
  <c r="G763" i="1"/>
  <c r="G762" i="1"/>
  <c r="K762" i="1" s="1"/>
  <c r="K761" i="1"/>
  <c r="G761" i="1"/>
  <c r="G760" i="1"/>
  <c r="K760" i="1" s="1"/>
  <c r="K759" i="1"/>
  <c r="G759" i="1"/>
  <c r="G758" i="1"/>
  <c r="K758" i="1" s="1"/>
  <c r="K757" i="1"/>
  <c r="G757" i="1"/>
  <c r="G756" i="1"/>
  <c r="K756" i="1" s="1"/>
  <c r="K755" i="1"/>
  <c r="G755" i="1"/>
  <c r="L754" i="1"/>
  <c r="L755" i="1" s="1"/>
  <c r="L756" i="1" s="1"/>
  <c r="L757" i="1" s="1"/>
  <c r="L758" i="1" s="1"/>
  <c r="L759" i="1" s="1"/>
  <c r="L760" i="1" s="1"/>
  <c r="L761" i="1" s="1"/>
  <c r="L762" i="1" s="1"/>
  <c r="L763" i="1" s="1"/>
  <c r="L764" i="1" s="1"/>
  <c r="L765" i="1" s="1"/>
  <c r="L766" i="1" s="1"/>
  <c r="E754" i="1"/>
  <c r="L753" i="1"/>
  <c r="G753" i="1"/>
  <c r="K753" i="1" s="1"/>
  <c r="L752" i="1"/>
  <c r="E752" i="1"/>
  <c r="K751" i="1"/>
  <c r="G751" i="1"/>
  <c r="G750" i="1"/>
  <c r="K750" i="1" s="1"/>
  <c r="K749" i="1"/>
  <c r="G749" i="1"/>
  <c r="G748" i="1"/>
  <c r="K748" i="1" s="1"/>
  <c r="K747" i="1"/>
  <c r="G747" i="1"/>
  <c r="G746" i="1"/>
  <c r="K746" i="1" s="1"/>
  <c r="K745" i="1"/>
  <c r="G745" i="1"/>
  <c r="G744" i="1"/>
  <c r="K744" i="1" s="1"/>
  <c r="K743" i="1"/>
  <c r="G743" i="1"/>
  <c r="G742" i="1"/>
  <c r="K742" i="1" s="1"/>
  <c r="K741" i="1"/>
  <c r="G741" i="1"/>
  <c r="G740" i="1"/>
  <c r="L739" i="1"/>
  <c r="E739" i="1"/>
  <c r="K738" i="1"/>
  <c r="G738" i="1"/>
  <c r="G737" i="1"/>
  <c r="K737" i="1" s="1"/>
  <c r="K736" i="1"/>
  <c r="G736" i="1"/>
  <c r="G735" i="1"/>
  <c r="K735" i="1" s="1"/>
  <c r="K734" i="1"/>
  <c r="G734" i="1"/>
  <c r="G733" i="1"/>
  <c r="K733" i="1" s="1"/>
  <c r="K732" i="1"/>
  <c r="G732" i="1"/>
  <c r="G731" i="1"/>
  <c r="K731" i="1" s="1"/>
  <c r="K730" i="1"/>
  <c r="G730" i="1"/>
  <c r="G729" i="1"/>
  <c r="K729" i="1" s="1"/>
  <c r="K728" i="1"/>
  <c r="G728" i="1"/>
  <c r="G727" i="1"/>
  <c r="K727" i="1" s="1"/>
  <c r="K726" i="1"/>
  <c r="G726" i="1"/>
  <c r="G725" i="1"/>
  <c r="K725" i="1" s="1"/>
  <c r="K724" i="1"/>
  <c r="G724" i="1"/>
  <c r="G723" i="1"/>
  <c r="K723" i="1" s="1"/>
  <c r="K722" i="1"/>
  <c r="G722" i="1"/>
  <c r="G721" i="1"/>
  <c r="L720" i="1"/>
  <c r="E720" i="1"/>
  <c r="K719" i="1"/>
  <c r="G719" i="1"/>
  <c r="G718" i="1"/>
  <c r="K718" i="1" s="1"/>
  <c r="K717" i="1"/>
  <c r="G717" i="1"/>
  <c r="G716" i="1"/>
  <c r="K716" i="1" s="1"/>
  <c r="K715" i="1"/>
  <c r="G715" i="1"/>
  <c r="G714" i="1"/>
  <c r="K714" i="1" s="1"/>
  <c r="K713" i="1"/>
  <c r="G713" i="1"/>
  <c r="G712" i="1"/>
  <c r="K712" i="1" s="1"/>
  <c r="K711" i="1"/>
  <c r="G711" i="1"/>
  <c r="G710" i="1"/>
  <c r="K710" i="1" s="1"/>
  <c r="K709" i="1"/>
  <c r="G709" i="1"/>
  <c r="L708" i="1"/>
  <c r="L709" i="1" s="1"/>
  <c r="L710" i="1" s="1"/>
  <c r="L711" i="1" s="1"/>
  <c r="L712" i="1" s="1"/>
  <c r="L713" i="1" s="1"/>
  <c r="L714" i="1" s="1"/>
  <c r="L715" i="1" s="1"/>
  <c r="L716" i="1" s="1"/>
  <c r="L717" i="1" s="1"/>
  <c r="L718" i="1" s="1"/>
  <c r="L719" i="1" s="1"/>
  <c r="E708" i="1"/>
  <c r="G707" i="1"/>
  <c r="K707" i="1" s="1"/>
  <c r="K706" i="1"/>
  <c r="G706" i="1"/>
  <c r="G705" i="1"/>
  <c r="K705" i="1" s="1"/>
  <c r="K704" i="1"/>
  <c r="G704" i="1"/>
  <c r="G703" i="1"/>
  <c r="K703" i="1" s="1"/>
  <c r="K702" i="1"/>
  <c r="G702" i="1"/>
  <c r="G701" i="1"/>
  <c r="K701" i="1" s="1"/>
  <c r="K700" i="1"/>
  <c r="G700" i="1"/>
  <c r="G699" i="1"/>
  <c r="K699" i="1" s="1"/>
  <c r="K698" i="1"/>
  <c r="G698" i="1"/>
  <c r="G697" i="1"/>
  <c r="K697" i="1" s="1"/>
  <c r="K696" i="1"/>
  <c r="G696" i="1"/>
  <c r="G695" i="1"/>
  <c r="L694" i="1"/>
  <c r="E694" i="1"/>
  <c r="K693" i="1"/>
  <c r="G693" i="1"/>
  <c r="G692" i="1"/>
  <c r="K692" i="1" s="1"/>
  <c r="K691" i="1"/>
  <c r="G691" i="1"/>
  <c r="G690" i="1"/>
  <c r="K690" i="1" s="1"/>
  <c r="K689" i="1"/>
  <c r="G689" i="1"/>
  <c r="G688" i="1"/>
  <c r="K688" i="1" s="1"/>
  <c r="K687" i="1"/>
  <c r="G687" i="1"/>
  <c r="G686" i="1"/>
  <c r="K686" i="1" s="1"/>
  <c r="K685" i="1"/>
  <c r="G685" i="1"/>
  <c r="G684" i="1"/>
  <c r="K684" i="1" s="1"/>
  <c r="K683" i="1"/>
  <c r="G683" i="1"/>
  <c r="G682" i="1"/>
  <c r="K682" i="1" s="1"/>
  <c r="K681" i="1"/>
  <c r="G681" i="1"/>
  <c r="G680" i="1"/>
  <c r="L679" i="1"/>
  <c r="E679" i="1"/>
  <c r="D679" i="1"/>
  <c r="G678" i="1"/>
  <c r="K678" i="1" s="1"/>
  <c r="K677" i="1"/>
  <c r="G677" i="1"/>
  <c r="G676" i="1"/>
  <c r="K676" i="1" s="1"/>
  <c r="K675" i="1"/>
  <c r="G675" i="1"/>
  <c r="L674" i="1"/>
  <c r="L675" i="1" s="1"/>
  <c r="L676" i="1" s="1"/>
  <c r="L677" i="1" s="1"/>
  <c r="L678" i="1" s="1"/>
  <c r="E674" i="1"/>
  <c r="G673" i="1"/>
  <c r="K673" i="1" s="1"/>
  <c r="K672" i="1"/>
  <c r="G672" i="1"/>
  <c r="G671" i="1"/>
  <c r="K671" i="1" s="1"/>
  <c r="K670" i="1"/>
  <c r="G670" i="1"/>
  <c r="G669" i="1"/>
  <c r="K669" i="1" s="1"/>
  <c r="K668" i="1"/>
  <c r="G668" i="1"/>
  <c r="G667" i="1"/>
  <c r="K667" i="1" s="1"/>
  <c r="K666" i="1"/>
  <c r="G666" i="1"/>
  <c r="G665" i="1"/>
  <c r="K665" i="1" s="1"/>
  <c r="K664" i="1"/>
  <c r="G664" i="1"/>
  <c r="G663" i="1"/>
  <c r="K663" i="1" s="1"/>
  <c r="K662" i="1"/>
  <c r="G662" i="1"/>
  <c r="L661" i="1"/>
  <c r="L662" i="1" s="1"/>
  <c r="L663" i="1" s="1"/>
  <c r="L664" i="1" s="1"/>
  <c r="L665" i="1" s="1"/>
  <c r="L666" i="1" s="1"/>
  <c r="L667" i="1" s="1"/>
  <c r="L668" i="1" s="1"/>
  <c r="L669" i="1" s="1"/>
  <c r="L670" i="1" s="1"/>
  <c r="L671" i="1" s="1"/>
  <c r="L672" i="1" s="1"/>
  <c r="L673" i="1" s="1"/>
  <c r="E661" i="1"/>
  <c r="G660" i="1"/>
  <c r="K660" i="1" s="1"/>
  <c r="K659" i="1"/>
  <c r="G659" i="1"/>
  <c r="G658" i="1"/>
  <c r="L657" i="1"/>
  <c r="E657" i="1"/>
  <c r="K656" i="1"/>
  <c r="G656" i="1"/>
  <c r="G655" i="1"/>
  <c r="K655" i="1" s="1"/>
  <c r="K654" i="1"/>
  <c r="G654" i="1"/>
  <c r="G653" i="1"/>
  <c r="K653" i="1" s="1"/>
  <c r="K652" i="1"/>
  <c r="G652" i="1"/>
  <c r="G651" i="1"/>
  <c r="K651" i="1" s="1"/>
  <c r="K650" i="1"/>
  <c r="G650" i="1"/>
  <c r="G649" i="1"/>
  <c r="K649" i="1" s="1"/>
  <c r="K648" i="1"/>
  <c r="G648" i="1"/>
  <c r="G647" i="1"/>
  <c r="K647" i="1" s="1"/>
  <c r="K646" i="1"/>
  <c r="G646" i="1"/>
  <c r="G645" i="1"/>
  <c r="K645" i="1" s="1"/>
  <c r="K644" i="1"/>
  <c r="G644" i="1"/>
  <c r="L643" i="1"/>
  <c r="L644" i="1" s="1"/>
  <c r="L645" i="1" s="1"/>
  <c r="L646" i="1" s="1"/>
  <c r="L647" i="1" s="1"/>
  <c r="L648" i="1" s="1"/>
  <c r="L649" i="1" s="1"/>
  <c r="L650" i="1" s="1"/>
  <c r="L651" i="1" s="1"/>
  <c r="L652" i="1" s="1"/>
  <c r="L653" i="1" s="1"/>
  <c r="L654" i="1" s="1"/>
  <c r="L655" i="1" s="1"/>
  <c r="L656" i="1" s="1"/>
  <c r="E643" i="1"/>
  <c r="G642" i="1"/>
  <c r="K642" i="1" s="1"/>
  <c r="K641" i="1"/>
  <c r="G641" i="1"/>
  <c r="G640" i="1"/>
  <c r="K640" i="1" s="1"/>
  <c r="K639" i="1"/>
  <c r="G639" i="1"/>
  <c r="G638" i="1"/>
  <c r="K638" i="1" s="1"/>
  <c r="K637" i="1"/>
  <c r="G637" i="1"/>
  <c r="G636" i="1"/>
  <c r="K636" i="1" s="1"/>
  <c r="K635" i="1"/>
  <c r="G635" i="1"/>
  <c r="G634" i="1"/>
  <c r="K634" i="1" s="1"/>
  <c r="K633" i="1"/>
  <c r="G633" i="1"/>
  <c r="G632" i="1"/>
  <c r="K632" i="1" s="1"/>
  <c r="K631" i="1"/>
  <c r="G631" i="1"/>
  <c r="L630" i="1"/>
  <c r="L631" i="1" s="1"/>
  <c r="L632" i="1" s="1"/>
  <c r="L633" i="1" s="1"/>
  <c r="L634" i="1" s="1"/>
  <c r="L635" i="1" s="1"/>
  <c r="L636" i="1" s="1"/>
  <c r="L637" i="1" s="1"/>
  <c r="L638" i="1" s="1"/>
  <c r="L639" i="1" s="1"/>
  <c r="L640" i="1" s="1"/>
  <c r="L641" i="1" s="1"/>
  <c r="L642" i="1" s="1"/>
  <c r="G630" i="1"/>
  <c r="K630" i="1" s="1"/>
  <c r="L629" i="1"/>
  <c r="E629" i="1"/>
  <c r="K628" i="1"/>
  <c r="G628" i="1"/>
  <c r="G627" i="1"/>
  <c r="K627" i="1" s="1"/>
  <c r="K626" i="1"/>
  <c r="G626" i="1"/>
  <c r="G625" i="1"/>
  <c r="K625" i="1" s="1"/>
  <c r="K624" i="1"/>
  <c r="G624" i="1"/>
  <c r="G623" i="1"/>
  <c r="K623" i="1" s="1"/>
  <c r="K622" i="1"/>
  <c r="G622" i="1"/>
  <c r="G621" i="1"/>
  <c r="K621" i="1" s="1"/>
  <c r="K620" i="1"/>
  <c r="G620" i="1"/>
  <c r="G619" i="1"/>
  <c r="K619" i="1" s="1"/>
  <c r="K618" i="1"/>
  <c r="G618" i="1"/>
  <c r="G617" i="1"/>
  <c r="L616" i="1"/>
  <c r="E616" i="1"/>
  <c r="K615" i="1"/>
  <c r="G615" i="1"/>
  <c r="G614" i="1"/>
  <c r="K614" i="1" s="1"/>
  <c r="K613" i="1"/>
  <c r="G613" i="1"/>
  <c r="G612" i="1"/>
  <c r="K612" i="1" s="1"/>
  <c r="K611" i="1"/>
  <c r="G611" i="1"/>
  <c r="G610" i="1"/>
  <c r="K610" i="1" s="1"/>
  <c r="K609" i="1"/>
  <c r="G609" i="1"/>
  <c r="G608" i="1"/>
  <c r="K608" i="1" s="1"/>
  <c r="K607" i="1"/>
  <c r="G607" i="1"/>
  <c r="G606" i="1"/>
  <c r="K606" i="1" s="1"/>
  <c r="K605" i="1"/>
  <c r="G605" i="1"/>
  <c r="L604" i="1"/>
  <c r="L605" i="1" s="1"/>
  <c r="L606" i="1" s="1"/>
  <c r="L607" i="1" s="1"/>
  <c r="L608" i="1" s="1"/>
  <c r="L609" i="1" s="1"/>
  <c r="L610" i="1" s="1"/>
  <c r="L611" i="1" s="1"/>
  <c r="L612" i="1" s="1"/>
  <c r="L613" i="1" s="1"/>
  <c r="L614" i="1" s="1"/>
  <c r="L615" i="1" s="1"/>
  <c r="G604" i="1"/>
  <c r="K604" i="1" s="1"/>
  <c r="L603" i="1"/>
  <c r="E603" i="1"/>
  <c r="K602" i="1"/>
  <c r="G602" i="1"/>
  <c r="G601" i="1"/>
  <c r="K601" i="1" s="1"/>
  <c r="K600" i="1"/>
  <c r="G600" i="1"/>
  <c r="G599" i="1"/>
  <c r="L598" i="1"/>
  <c r="E598" i="1"/>
  <c r="D598" i="1"/>
  <c r="G597" i="1"/>
  <c r="K597" i="1" s="1"/>
  <c r="K596" i="1"/>
  <c r="G596" i="1"/>
  <c r="G595" i="1"/>
  <c r="K595" i="1" s="1"/>
  <c r="K594" i="1"/>
  <c r="G594" i="1"/>
  <c r="G593" i="1"/>
  <c r="K593" i="1" s="1"/>
  <c r="K592" i="1"/>
  <c r="G592" i="1"/>
  <c r="G591" i="1"/>
  <c r="K591" i="1" s="1"/>
  <c r="K590" i="1"/>
  <c r="G590" i="1"/>
  <c r="G589" i="1"/>
  <c r="K589" i="1" s="1"/>
  <c r="K588" i="1"/>
  <c r="G588" i="1"/>
  <c r="G587" i="1"/>
  <c r="K587" i="1" s="1"/>
  <c r="K586" i="1"/>
  <c r="G586" i="1"/>
  <c r="G585" i="1"/>
  <c r="K585" i="1" s="1"/>
  <c r="K584" i="1"/>
  <c r="G584" i="1"/>
  <c r="G583" i="1"/>
  <c r="K583" i="1" s="1"/>
  <c r="K582" i="1"/>
  <c r="G582" i="1"/>
  <c r="L581" i="1"/>
  <c r="L582" i="1" s="1"/>
  <c r="L583" i="1" s="1"/>
  <c r="L584" i="1" s="1"/>
  <c r="L585" i="1" s="1"/>
  <c r="L586" i="1" s="1"/>
  <c r="L587" i="1" s="1"/>
  <c r="L588" i="1" s="1"/>
  <c r="L589" i="1" s="1"/>
  <c r="L590" i="1" s="1"/>
  <c r="L591" i="1" s="1"/>
  <c r="L592" i="1" s="1"/>
  <c r="L593" i="1" s="1"/>
  <c r="L594" i="1" s="1"/>
  <c r="L595" i="1" s="1"/>
  <c r="L596" i="1" s="1"/>
  <c r="L597" i="1" s="1"/>
  <c r="G581" i="1"/>
  <c r="K581" i="1" s="1"/>
  <c r="L580" i="1"/>
  <c r="E580" i="1"/>
  <c r="K579" i="1"/>
  <c r="G579" i="1"/>
  <c r="G578" i="1"/>
  <c r="K578" i="1" s="1"/>
  <c r="K577" i="1"/>
  <c r="G577" i="1"/>
  <c r="G576" i="1"/>
  <c r="K576" i="1" s="1"/>
  <c r="K575" i="1"/>
  <c r="G575" i="1"/>
  <c r="G574" i="1"/>
  <c r="K574" i="1" s="1"/>
  <c r="K573" i="1"/>
  <c r="G573" i="1"/>
  <c r="G572" i="1"/>
  <c r="K572" i="1" s="1"/>
  <c r="K571" i="1"/>
  <c r="G571" i="1"/>
  <c r="G570" i="1"/>
  <c r="K570" i="1" s="1"/>
  <c r="K569" i="1"/>
  <c r="G569" i="1"/>
  <c r="G568" i="1"/>
  <c r="K568" i="1" s="1"/>
  <c r="K567" i="1"/>
  <c r="G567" i="1"/>
  <c r="L566" i="1"/>
  <c r="L567" i="1" s="1"/>
  <c r="G566" i="1"/>
  <c r="K566" i="1" s="1"/>
  <c r="L565" i="1"/>
  <c r="E565" i="1"/>
  <c r="K564" i="1"/>
  <c r="G564" i="1"/>
  <c r="G563" i="1"/>
  <c r="K563" i="1" s="1"/>
  <c r="K562" i="1"/>
  <c r="G562" i="1"/>
  <c r="L561" i="1"/>
  <c r="L562" i="1" s="1"/>
  <c r="L563" i="1" s="1"/>
  <c r="L564" i="1" s="1"/>
  <c r="E561" i="1"/>
  <c r="G560" i="1"/>
  <c r="K560" i="1" s="1"/>
  <c r="K559" i="1"/>
  <c r="G559" i="1"/>
  <c r="L558" i="1"/>
  <c r="L559" i="1" s="1"/>
  <c r="L560" i="1" s="1"/>
  <c r="E558" i="1"/>
  <c r="G557" i="1"/>
  <c r="K557" i="1" s="1"/>
  <c r="K556" i="1"/>
  <c r="G556" i="1"/>
  <c r="G555" i="1"/>
  <c r="L554" i="1"/>
  <c r="E554" i="1"/>
  <c r="K553" i="1"/>
  <c r="G553" i="1"/>
  <c r="G552" i="1"/>
  <c r="K552" i="1" s="1"/>
  <c r="K551" i="1"/>
  <c r="G551" i="1"/>
  <c r="G550" i="1"/>
  <c r="K550" i="1" s="1"/>
  <c r="K549" i="1"/>
  <c r="K548" i="1"/>
  <c r="G548" i="1"/>
  <c r="L547" i="1"/>
  <c r="L548" i="1" s="1"/>
  <c r="L549" i="1" s="1"/>
  <c r="L550" i="1" s="1"/>
  <c r="L551" i="1" s="1"/>
  <c r="L552" i="1" s="1"/>
  <c r="L553" i="1" s="1"/>
  <c r="G547" i="1"/>
  <c r="K547" i="1" s="1"/>
  <c r="E546" i="1"/>
  <c r="D546" i="1"/>
  <c r="L546" i="1" s="1"/>
  <c r="G545" i="1"/>
  <c r="K545" i="1" s="1"/>
  <c r="K544" i="1"/>
  <c r="G544" i="1"/>
  <c r="L543" i="1"/>
  <c r="L544" i="1" s="1"/>
  <c r="G543" i="1"/>
  <c r="K543" i="1" s="1"/>
  <c r="L542" i="1"/>
  <c r="E542" i="1"/>
  <c r="K541" i="1"/>
  <c r="G541" i="1"/>
  <c r="G540" i="1"/>
  <c r="K540" i="1" s="1"/>
  <c r="K539" i="1"/>
  <c r="G539" i="1"/>
  <c r="G538" i="1"/>
  <c r="K538" i="1" s="1"/>
  <c r="K537" i="1"/>
  <c r="G537" i="1"/>
  <c r="L536" i="1"/>
  <c r="L537" i="1" s="1"/>
  <c r="L538" i="1" s="1"/>
  <c r="L539" i="1" s="1"/>
  <c r="L540" i="1" s="1"/>
  <c r="L541" i="1" s="1"/>
  <c r="E536" i="1"/>
  <c r="G535" i="1"/>
  <c r="G534" i="1"/>
  <c r="K534" i="1" s="1"/>
  <c r="K533" i="1"/>
  <c r="G533" i="1"/>
  <c r="G532" i="1"/>
  <c r="L531" i="1"/>
  <c r="E531" i="1"/>
  <c r="K530" i="1"/>
  <c r="G530" i="1"/>
  <c r="G529" i="1"/>
  <c r="K529" i="1" s="1"/>
  <c r="K528" i="1"/>
  <c r="G528" i="1"/>
  <c r="L527" i="1"/>
  <c r="L528" i="1" s="1"/>
  <c r="E527" i="1"/>
  <c r="G526" i="1"/>
  <c r="K526" i="1" s="1"/>
  <c r="K525" i="1"/>
  <c r="G525" i="1"/>
  <c r="G524" i="1"/>
  <c r="K524" i="1" s="1"/>
  <c r="K523" i="1"/>
  <c r="G523" i="1"/>
  <c r="G522" i="1"/>
  <c r="K522" i="1" s="1"/>
  <c r="K521" i="1"/>
  <c r="G521" i="1"/>
  <c r="L520" i="1"/>
  <c r="L521" i="1" s="1"/>
  <c r="E520" i="1"/>
  <c r="G519" i="1"/>
  <c r="K519" i="1" s="1"/>
  <c r="K518" i="1"/>
  <c r="G518" i="1"/>
  <c r="G517" i="1"/>
  <c r="K517" i="1" s="1"/>
  <c r="K516" i="1"/>
  <c r="G516" i="1"/>
  <c r="G515" i="1"/>
  <c r="K515" i="1" s="1"/>
  <c r="K514" i="1"/>
  <c r="G514" i="1"/>
  <c r="L513" i="1"/>
  <c r="L514" i="1" s="1"/>
  <c r="E513" i="1"/>
  <c r="G512" i="1"/>
  <c r="K512" i="1" s="1"/>
  <c r="K511" i="1"/>
  <c r="G511" i="1"/>
  <c r="L510" i="1"/>
  <c r="L511" i="1" s="1"/>
  <c r="L512" i="1" s="1"/>
  <c r="G510" i="1"/>
  <c r="K510" i="1" s="1"/>
  <c r="E509" i="1"/>
  <c r="D509" i="1"/>
  <c r="L509" i="1" s="1"/>
  <c r="G508" i="1"/>
  <c r="K508" i="1" s="1"/>
  <c r="K507" i="1"/>
  <c r="G507" i="1"/>
  <c r="G506" i="1"/>
  <c r="K506" i="1" s="1"/>
  <c r="K505" i="1"/>
  <c r="G505" i="1"/>
  <c r="L504" i="1"/>
  <c r="L505" i="1" s="1"/>
  <c r="L506" i="1" s="1"/>
  <c r="L507" i="1" s="1"/>
  <c r="L508" i="1" s="1"/>
  <c r="E504" i="1"/>
  <c r="G503" i="1"/>
  <c r="K503" i="1" s="1"/>
  <c r="K502" i="1"/>
  <c r="G502" i="1"/>
  <c r="G501" i="1"/>
  <c r="K501" i="1" s="1"/>
  <c r="K500" i="1"/>
  <c r="G500" i="1"/>
  <c r="L499" i="1"/>
  <c r="L500" i="1" s="1"/>
  <c r="L501" i="1" s="1"/>
  <c r="L502" i="1" s="1"/>
  <c r="L503" i="1" s="1"/>
  <c r="E499" i="1"/>
  <c r="G498" i="1"/>
  <c r="K498" i="1" s="1"/>
  <c r="K497" i="1"/>
  <c r="G497" i="1"/>
  <c r="G496" i="1"/>
  <c r="K496" i="1" s="1"/>
  <c r="K495" i="1"/>
  <c r="G495" i="1"/>
  <c r="G494" i="1"/>
  <c r="L493" i="1"/>
  <c r="E493" i="1"/>
  <c r="K492" i="1"/>
  <c r="G492" i="1"/>
  <c r="G491" i="1"/>
  <c r="K491" i="1" s="1"/>
  <c r="K490" i="1"/>
  <c r="G490" i="1"/>
  <c r="G489" i="1"/>
  <c r="K489" i="1" s="1"/>
  <c r="K488" i="1"/>
  <c r="G488" i="1"/>
  <c r="G487" i="1"/>
  <c r="L486" i="1"/>
  <c r="E486" i="1"/>
  <c r="K485" i="1"/>
  <c r="G485" i="1"/>
  <c r="G484" i="1"/>
  <c r="K484" i="1" s="1"/>
  <c r="K483" i="1"/>
  <c r="G483" i="1"/>
  <c r="G482" i="1"/>
  <c r="K482" i="1" s="1"/>
  <c r="K481" i="1"/>
  <c r="G481" i="1"/>
  <c r="G480" i="1"/>
  <c r="L479" i="1"/>
  <c r="E479" i="1"/>
  <c r="K478" i="1"/>
  <c r="G478" i="1"/>
  <c r="G477" i="1"/>
  <c r="K477" i="1" s="1"/>
  <c r="K476" i="1"/>
  <c r="G476" i="1"/>
  <c r="G475" i="1"/>
  <c r="K475" i="1" s="1"/>
  <c r="K474" i="1"/>
  <c r="G474" i="1"/>
  <c r="G473" i="1"/>
  <c r="K473" i="1" s="1"/>
  <c r="K472" i="1"/>
  <c r="G472" i="1"/>
  <c r="L471" i="1"/>
  <c r="L472" i="1" s="1"/>
  <c r="L473" i="1" s="1"/>
  <c r="L474" i="1" s="1"/>
  <c r="L475" i="1" s="1"/>
  <c r="L476" i="1" s="1"/>
  <c r="L477" i="1" s="1"/>
  <c r="L478" i="1" s="1"/>
  <c r="D471" i="1"/>
  <c r="E471" i="1" s="1"/>
  <c r="K470" i="1"/>
  <c r="G470" i="1"/>
  <c r="G469" i="1"/>
  <c r="K469" i="1" s="1"/>
  <c r="K468" i="1"/>
  <c r="G468" i="1"/>
  <c r="G467" i="1"/>
  <c r="K467" i="1" s="1"/>
  <c r="K466" i="1"/>
  <c r="G466" i="1"/>
  <c r="G465" i="1"/>
  <c r="K465" i="1" s="1"/>
  <c r="K464" i="1"/>
  <c r="G464" i="1"/>
  <c r="L463" i="1"/>
  <c r="L464" i="1" s="1"/>
  <c r="L465" i="1" s="1"/>
  <c r="L466" i="1" s="1"/>
  <c r="L467" i="1" s="1"/>
  <c r="L468" i="1" s="1"/>
  <c r="L469" i="1" s="1"/>
  <c r="L470" i="1" s="1"/>
  <c r="E463" i="1"/>
  <c r="G462" i="1"/>
  <c r="K462" i="1" s="1"/>
  <c r="E462" i="1"/>
  <c r="G461" i="1"/>
  <c r="K461" i="1" s="1"/>
  <c r="K460" i="1"/>
  <c r="G460" i="1"/>
  <c r="G459" i="1"/>
  <c r="K459" i="1" s="1"/>
  <c r="K458" i="1"/>
  <c r="G458" i="1"/>
  <c r="G457" i="1"/>
  <c r="K457" i="1" s="1"/>
  <c r="K456" i="1"/>
  <c r="G456" i="1"/>
  <c r="G455" i="1"/>
  <c r="K455" i="1" s="1"/>
  <c r="K454" i="1"/>
  <c r="G454" i="1"/>
  <c r="G453" i="1"/>
  <c r="L452" i="1"/>
  <c r="E452" i="1"/>
  <c r="K451" i="1"/>
  <c r="G451" i="1"/>
  <c r="G450" i="1"/>
  <c r="K450" i="1" s="1"/>
  <c r="K449" i="1"/>
  <c r="G449" i="1"/>
  <c r="G448" i="1"/>
  <c r="K448" i="1" s="1"/>
  <c r="K447" i="1"/>
  <c r="G447" i="1"/>
  <c r="L446" i="1"/>
  <c r="L447" i="1" s="1"/>
  <c r="L448" i="1" s="1"/>
  <c r="L449" i="1" s="1"/>
  <c r="L450" i="1" s="1"/>
  <c r="L451" i="1" s="1"/>
  <c r="E446" i="1"/>
  <c r="G445" i="1"/>
  <c r="K445" i="1" s="1"/>
  <c r="K444" i="1"/>
  <c r="G444" i="1"/>
  <c r="G443" i="1"/>
  <c r="K443" i="1" s="1"/>
  <c r="K442" i="1"/>
  <c r="G442" i="1"/>
  <c r="L441" i="1"/>
  <c r="L442" i="1" s="1"/>
  <c r="D441" i="1"/>
  <c r="E441" i="1" s="1"/>
  <c r="K440" i="1"/>
  <c r="G440" i="1"/>
  <c r="G439" i="1"/>
  <c r="K439" i="1" s="1"/>
  <c r="K438" i="1"/>
  <c r="G438" i="1"/>
  <c r="G437" i="1"/>
  <c r="K437" i="1" s="1"/>
  <c r="K436" i="1"/>
  <c r="G436" i="1"/>
  <c r="G435" i="1"/>
  <c r="K435" i="1" s="1"/>
  <c r="K434" i="1"/>
  <c r="G434" i="1"/>
  <c r="G433" i="1"/>
  <c r="K433" i="1" s="1"/>
  <c r="K432" i="1"/>
  <c r="G432" i="1"/>
  <c r="G431" i="1"/>
  <c r="K431" i="1" s="1"/>
  <c r="K430" i="1"/>
  <c r="G430" i="1"/>
  <c r="G429" i="1"/>
  <c r="K429" i="1" s="1"/>
  <c r="K428" i="1"/>
  <c r="G428" i="1"/>
  <c r="G427" i="1"/>
  <c r="K427" i="1" s="1"/>
  <c r="K426" i="1"/>
  <c r="G426" i="1"/>
  <c r="G425" i="1"/>
  <c r="K425" i="1" s="1"/>
  <c r="E424" i="1"/>
  <c r="D424" i="1"/>
  <c r="L424" i="1" s="1"/>
  <c r="L425" i="1" s="1"/>
  <c r="L426" i="1" s="1"/>
  <c r="L427" i="1" s="1"/>
  <c r="L428" i="1" s="1"/>
  <c r="L429" i="1" s="1"/>
  <c r="L430" i="1" s="1"/>
  <c r="L431" i="1" s="1"/>
  <c r="L432" i="1" s="1"/>
  <c r="L433" i="1" s="1"/>
  <c r="L434" i="1" s="1"/>
  <c r="L435" i="1" s="1"/>
  <c r="L436" i="1" s="1"/>
  <c r="L437" i="1" s="1"/>
  <c r="L438" i="1" s="1"/>
  <c r="L439" i="1" s="1"/>
  <c r="L440" i="1" s="1"/>
  <c r="G423" i="1"/>
  <c r="K423" i="1" s="1"/>
  <c r="K422" i="1"/>
  <c r="G422" i="1"/>
  <c r="G421" i="1"/>
  <c r="K421" i="1" s="1"/>
  <c r="K420" i="1"/>
  <c r="G420" i="1"/>
  <c r="G419" i="1"/>
  <c r="K419" i="1" s="1"/>
  <c r="K418" i="1"/>
  <c r="G418" i="1"/>
  <c r="G417" i="1"/>
  <c r="K417" i="1" s="1"/>
  <c r="K416" i="1"/>
  <c r="G416" i="1"/>
  <c r="G415" i="1"/>
  <c r="L414" i="1"/>
  <c r="E414" i="1"/>
  <c r="K413" i="1"/>
  <c r="G413" i="1"/>
  <c r="G412" i="1"/>
  <c r="K412" i="1" s="1"/>
  <c r="K411" i="1"/>
  <c r="G411" i="1"/>
  <c r="G410" i="1"/>
  <c r="K410" i="1" s="1"/>
  <c r="K409" i="1"/>
  <c r="G409" i="1"/>
  <c r="G408" i="1"/>
  <c r="K408" i="1" s="1"/>
  <c r="K407" i="1"/>
  <c r="G407" i="1"/>
  <c r="G406" i="1"/>
  <c r="K406" i="1" s="1"/>
  <c r="K405" i="1"/>
  <c r="G405" i="1"/>
  <c r="L404" i="1"/>
  <c r="L405" i="1" s="1"/>
  <c r="L406" i="1" s="1"/>
  <c r="L407" i="1" s="1"/>
  <c r="L408" i="1" s="1"/>
  <c r="L409" i="1" s="1"/>
  <c r="L410" i="1" s="1"/>
  <c r="L411" i="1" s="1"/>
  <c r="L412" i="1" s="1"/>
  <c r="L413" i="1" s="1"/>
  <c r="E404" i="1"/>
  <c r="L403" i="1"/>
  <c r="G403" i="1"/>
  <c r="K403" i="1" s="1"/>
  <c r="L402" i="1"/>
  <c r="E402" i="1"/>
  <c r="K401" i="1"/>
  <c r="G401" i="1"/>
  <c r="G400" i="1"/>
  <c r="K400" i="1" s="1"/>
  <c r="K399" i="1"/>
  <c r="G399" i="1"/>
  <c r="G398" i="1"/>
  <c r="K398" i="1" s="1"/>
  <c r="K397" i="1"/>
  <c r="G397" i="1"/>
  <c r="L396" i="1"/>
  <c r="L397" i="1" s="1"/>
  <c r="E396" i="1"/>
  <c r="G395" i="1"/>
  <c r="K395" i="1" s="1"/>
  <c r="K394" i="1"/>
  <c r="G394" i="1"/>
  <c r="G393" i="1"/>
  <c r="K393" i="1" s="1"/>
  <c r="K392" i="1"/>
  <c r="G392" i="1"/>
  <c r="G391" i="1"/>
  <c r="K391" i="1" s="1"/>
  <c r="K390" i="1"/>
  <c r="G390" i="1"/>
  <c r="G389" i="1"/>
  <c r="K389" i="1" s="1"/>
  <c r="K388" i="1"/>
  <c r="G388" i="1"/>
  <c r="G387" i="1"/>
  <c r="K387" i="1" s="1"/>
  <c r="K386" i="1"/>
  <c r="G386" i="1"/>
  <c r="G385" i="1"/>
  <c r="K385" i="1" s="1"/>
  <c r="K384" i="1"/>
  <c r="G384" i="1"/>
  <c r="L383" i="1"/>
  <c r="L384" i="1" s="1"/>
  <c r="L385" i="1" s="1"/>
  <c r="L386" i="1" s="1"/>
  <c r="L387" i="1" s="1"/>
  <c r="L388" i="1" s="1"/>
  <c r="L389" i="1" s="1"/>
  <c r="L390" i="1" s="1"/>
  <c r="L391" i="1" s="1"/>
  <c r="L392" i="1" s="1"/>
  <c r="L393" i="1" s="1"/>
  <c r="L394" i="1" s="1"/>
  <c r="L395" i="1" s="1"/>
  <c r="E383" i="1"/>
  <c r="G382" i="1"/>
  <c r="K382" i="1" s="1"/>
  <c r="K381" i="1"/>
  <c r="G381" i="1"/>
  <c r="G380" i="1"/>
  <c r="K380" i="1" s="1"/>
  <c r="K379" i="1"/>
  <c r="G379" i="1"/>
  <c r="G378" i="1"/>
  <c r="K378" i="1" s="1"/>
  <c r="K377" i="1"/>
  <c r="G377" i="1"/>
  <c r="G376" i="1"/>
  <c r="K376" i="1" s="1"/>
  <c r="K375" i="1"/>
  <c r="G375" i="1"/>
  <c r="G374" i="1"/>
  <c r="K374" i="1" s="1"/>
  <c r="K373" i="1"/>
  <c r="G373" i="1"/>
  <c r="L372" i="1"/>
  <c r="L373" i="1" s="1"/>
  <c r="L374" i="1" s="1"/>
  <c r="L375" i="1" s="1"/>
  <c r="L376" i="1" s="1"/>
  <c r="L377" i="1" s="1"/>
  <c r="L378" i="1" s="1"/>
  <c r="L379" i="1" s="1"/>
  <c r="L380" i="1" s="1"/>
  <c r="L381" i="1" s="1"/>
  <c r="L382" i="1" s="1"/>
  <c r="E372" i="1"/>
  <c r="G371" i="1"/>
  <c r="K371" i="1" s="1"/>
  <c r="K370" i="1"/>
  <c r="G370" i="1"/>
  <c r="G369" i="1"/>
  <c r="K369" i="1" s="1"/>
  <c r="K368" i="1"/>
  <c r="G368" i="1"/>
  <c r="G367" i="1"/>
  <c r="K367" i="1" s="1"/>
  <c r="K366" i="1"/>
  <c r="G366" i="1"/>
  <c r="G365" i="1"/>
  <c r="K365" i="1" s="1"/>
  <c r="K364" i="1"/>
  <c r="G364" i="1"/>
  <c r="G363" i="1"/>
  <c r="K363" i="1" s="1"/>
  <c r="K362" i="1"/>
  <c r="G362" i="1"/>
  <c r="G361" i="1"/>
  <c r="K361" i="1" s="1"/>
  <c r="K360" i="1"/>
  <c r="G360" i="1"/>
  <c r="L359" i="1"/>
  <c r="L360" i="1" s="1"/>
  <c r="L361" i="1" s="1"/>
  <c r="L362" i="1" s="1"/>
  <c r="L363" i="1" s="1"/>
  <c r="L364" i="1" s="1"/>
  <c r="L365" i="1" s="1"/>
  <c r="L366" i="1" s="1"/>
  <c r="L367" i="1" s="1"/>
  <c r="L368" i="1" s="1"/>
  <c r="L369" i="1" s="1"/>
  <c r="L370" i="1" s="1"/>
  <c r="L371" i="1" s="1"/>
  <c r="G359" i="1"/>
  <c r="K359" i="1" s="1"/>
  <c r="L358" i="1"/>
  <c r="E358" i="1"/>
  <c r="K357" i="1"/>
  <c r="G357" i="1"/>
  <c r="G356" i="1"/>
  <c r="K356" i="1" s="1"/>
  <c r="K355" i="1"/>
  <c r="G355" i="1"/>
  <c r="G354" i="1"/>
  <c r="K354" i="1" s="1"/>
  <c r="K353" i="1"/>
  <c r="G353" i="1"/>
  <c r="G352" i="1"/>
  <c r="K352" i="1" s="1"/>
  <c r="K351" i="1"/>
  <c r="G351" i="1"/>
  <c r="G350" i="1"/>
  <c r="K350" i="1" s="1"/>
  <c r="K349" i="1"/>
  <c r="G349" i="1"/>
  <c r="G348" i="1"/>
  <c r="K348" i="1" s="1"/>
  <c r="K347" i="1"/>
  <c r="G347" i="1"/>
  <c r="G346" i="1"/>
  <c r="K346" i="1" s="1"/>
  <c r="L345" i="1"/>
  <c r="E345" i="1"/>
  <c r="K344" i="1"/>
  <c r="G344" i="1"/>
  <c r="G343" i="1"/>
  <c r="K343" i="1" s="1"/>
  <c r="K342" i="1"/>
  <c r="G342" i="1"/>
  <c r="G341" i="1"/>
  <c r="K341" i="1" s="1"/>
  <c r="K340" i="1"/>
  <c r="G340" i="1"/>
  <c r="G339" i="1"/>
  <c r="K339" i="1" s="1"/>
  <c r="K338" i="1"/>
  <c r="G338" i="1"/>
  <c r="G337" i="1"/>
  <c r="K337" i="1" s="1"/>
  <c r="K336" i="1"/>
  <c r="G336" i="1"/>
  <c r="G335" i="1"/>
  <c r="K335" i="1" s="1"/>
  <c r="K334" i="1"/>
  <c r="G334" i="1"/>
  <c r="G333" i="1"/>
  <c r="K333" i="1" s="1"/>
  <c r="K332" i="1"/>
  <c r="G332" i="1"/>
  <c r="G331" i="1"/>
  <c r="K331" i="1" s="1"/>
  <c r="K330" i="1"/>
  <c r="G330" i="1"/>
  <c r="G329" i="1"/>
  <c r="K329" i="1" s="1"/>
  <c r="K328" i="1"/>
  <c r="G328" i="1"/>
  <c r="L327" i="1"/>
  <c r="L328" i="1" s="1"/>
  <c r="L329" i="1" s="1"/>
  <c r="L330" i="1" s="1"/>
  <c r="L331" i="1" s="1"/>
  <c r="L332" i="1" s="1"/>
  <c r="L333" i="1" s="1"/>
  <c r="L334" i="1" s="1"/>
  <c r="L335" i="1" s="1"/>
  <c r="L336" i="1" s="1"/>
  <c r="L337" i="1" s="1"/>
  <c r="L338" i="1" s="1"/>
  <c r="L339" i="1" s="1"/>
  <c r="L340" i="1" s="1"/>
  <c r="L341" i="1" s="1"/>
  <c r="L342" i="1" s="1"/>
  <c r="L343" i="1" s="1"/>
  <c r="L344" i="1" s="1"/>
  <c r="E327" i="1"/>
  <c r="G326" i="1"/>
  <c r="G325" i="1"/>
  <c r="D324" i="1"/>
  <c r="E324" i="1" s="1"/>
  <c r="K323" i="1"/>
  <c r="G323" i="1"/>
  <c r="G322" i="1"/>
  <c r="K322" i="1" s="1"/>
  <c r="K321" i="1"/>
  <c r="G321" i="1"/>
  <c r="G320" i="1"/>
  <c r="K320" i="1" s="1"/>
  <c r="K319" i="1"/>
  <c r="G319" i="1"/>
  <c r="G318" i="1"/>
  <c r="K318" i="1" s="1"/>
  <c r="K317" i="1"/>
  <c r="G317" i="1"/>
  <c r="G316" i="1"/>
  <c r="K316" i="1" s="1"/>
  <c r="K315" i="1"/>
  <c r="G315" i="1"/>
  <c r="G314" i="1"/>
  <c r="K314" i="1" s="1"/>
  <c r="K313" i="1"/>
  <c r="G313" i="1"/>
  <c r="G312" i="1"/>
  <c r="K312" i="1" s="1"/>
  <c r="L311" i="1"/>
  <c r="E311" i="1"/>
  <c r="K310" i="1"/>
  <c r="G310" i="1"/>
  <c r="G309" i="1"/>
  <c r="K309" i="1" s="1"/>
  <c r="K308" i="1"/>
  <c r="G308" i="1"/>
  <c r="G307" i="1"/>
  <c r="K307" i="1" s="1"/>
  <c r="K306" i="1"/>
  <c r="G306" i="1"/>
  <c r="G305" i="1"/>
  <c r="K305" i="1" s="1"/>
  <c r="K304" i="1"/>
  <c r="G304" i="1"/>
  <c r="G303" i="1"/>
  <c r="K303" i="1" s="1"/>
  <c r="K302" i="1"/>
  <c r="G302" i="1"/>
  <c r="G301" i="1"/>
  <c r="K301" i="1" s="1"/>
  <c r="K300" i="1"/>
  <c r="G300" i="1"/>
  <c r="G299" i="1"/>
  <c r="K299" i="1" s="1"/>
  <c r="K298" i="1"/>
  <c r="G298" i="1"/>
  <c r="G297" i="1"/>
  <c r="K297" i="1" s="1"/>
  <c r="K296" i="1"/>
  <c r="G296" i="1"/>
  <c r="G295" i="1"/>
  <c r="K295" i="1" s="1"/>
  <c r="K294" i="1"/>
  <c r="G294" i="1"/>
  <c r="G293" i="1"/>
  <c r="K293" i="1" s="1"/>
  <c r="K292" i="1"/>
  <c r="G292" i="1"/>
  <c r="G291" i="1"/>
  <c r="K291" i="1" s="1"/>
  <c r="K290" i="1"/>
  <c r="G290" i="1"/>
  <c r="G289" i="1"/>
  <c r="K289" i="1" s="1"/>
  <c r="K288" i="1"/>
  <c r="G288" i="1"/>
  <c r="K287" i="1"/>
  <c r="G287" i="1"/>
  <c r="G286" i="1"/>
  <c r="L286" i="1" s="1"/>
  <c r="L287" i="1" s="1"/>
  <c r="L288" i="1" s="1"/>
  <c r="L289" i="1" s="1"/>
  <c r="L290" i="1" s="1"/>
  <c r="L291" i="1" s="1"/>
  <c r="L292" i="1" s="1"/>
  <c r="L293" i="1" s="1"/>
  <c r="L294" i="1" s="1"/>
  <c r="L295" i="1" s="1"/>
  <c r="L296" i="1" s="1"/>
  <c r="L297" i="1" s="1"/>
  <c r="L298" i="1" s="1"/>
  <c r="L299" i="1" s="1"/>
  <c r="L300" i="1" s="1"/>
  <c r="L301" i="1" s="1"/>
  <c r="L302" i="1" s="1"/>
  <c r="L303" i="1" s="1"/>
  <c r="L304" i="1" s="1"/>
  <c r="L305" i="1" s="1"/>
  <c r="L306" i="1" s="1"/>
  <c r="L307" i="1" s="1"/>
  <c r="L308" i="1" s="1"/>
  <c r="L309" i="1" s="1"/>
  <c r="L310" i="1" s="1"/>
  <c r="L285" i="1"/>
  <c r="E285" i="1"/>
  <c r="D285" i="1"/>
  <c r="G284" i="1"/>
  <c r="K284" i="1" s="1"/>
  <c r="K283" i="1"/>
  <c r="G283" i="1"/>
  <c r="G282" i="1"/>
  <c r="K282" i="1" s="1"/>
  <c r="K281" i="1"/>
  <c r="G281" i="1"/>
  <c r="G280" i="1"/>
  <c r="K280" i="1" s="1"/>
  <c r="K279" i="1"/>
  <c r="G279" i="1"/>
  <c r="G278" i="1"/>
  <c r="K278" i="1" s="1"/>
  <c r="K277" i="1"/>
  <c r="G277" i="1"/>
  <c r="G276" i="1"/>
  <c r="K276" i="1" s="1"/>
  <c r="K275" i="1"/>
  <c r="G275" i="1"/>
  <c r="G274" i="1"/>
  <c r="K274" i="1" s="1"/>
  <c r="K273" i="1"/>
  <c r="G273" i="1"/>
  <c r="G272" i="1"/>
  <c r="K272" i="1" s="1"/>
  <c r="K271" i="1"/>
  <c r="G271" i="1"/>
  <c r="G270" i="1"/>
  <c r="K270" i="1" s="1"/>
  <c r="K269" i="1"/>
  <c r="G269" i="1"/>
  <c r="G268" i="1"/>
  <c r="K268" i="1" s="1"/>
  <c r="K267" i="1"/>
  <c r="G267" i="1"/>
  <c r="G266" i="1"/>
  <c r="K266" i="1" s="1"/>
  <c r="K265" i="1"/>
  <c r="G265" i="1"/>
  <c r="G264" i="1"/>
  <c r="K264" i="1" s="1"/>
  <c r="K263" i="1"/>
  <c r="G263" i="1"/>
  <c r="G262" i="1"/>
  <c r="K262" i="1" s="1"/>
  <c r="K261" i="1"/>
  <c r="G261" i="1"/>
  <c r="G260" i="1"/>
  <c r="K260" i="1" s="1"/>
  <c r="E259" i="1"/>
  <c r="D259" i="1"/>
  <c r="L259" i="1" s="1"/>
  <c r="L260" i="1" s="1"/>
  <c r="L261" i="1" s="1"/>
  <c r="L262" i="1" s="1"/>
  <c r="L263" i="1" s="1"/>
  <c r="L264" i="1" s="1"/>
  <c r="L265" i="1" s="1"/>
  <c r="L266" i="1" s="1"/>
  <c r="L267" i="1" s="1"/>
  <c r="L268" i="1" s="1"/>
  <c r="L269" i="1" s="1"/>
  <c r="L270" i="1" s="1"/>
  <c r="L271" i="1" s="1"/>
  <c r="L272" i="1" s="1"/>
  <c r="L273" i="1" s="1"/>
  <c r="L274" i="1" s="1"/>
  <c r="L275" i="1" s="1"/>
  <c r="L276" i="1" s="1"/>
  <c r="L277" i="1" s="1"/>
  <c r="L278" i="1" s="1"/>
  <c r="L279" i="1" s="1"/>
  <c r="L280" i="1" s="1"/>
  <c r="L281" i="1" s="1"/>
  <c r="L282" i="1" s="1"/>
  <c r="L283" i="1" s="1"/>
  <c r="L284" i="1" s="1"/>
  <c r="K258" i="1"/>
  <c r="G257" i="1"/>
  <c r="K257" i="1" s="1"/>
  <c r="K256" i="1"/>
  <c r="G256" i="1"/>
  <c r="D255" i="1"/>
  <c r="L255" i="1" s="1"/>
  <c r="L256" i="1" s="1"/>
  <c r="L257" i="1" s="1"/>
  <c r="L258" i="1" s="1"/>
  <c r="K254" i="1"/>
  <c r="G254" i="1"/>
  <c r="G253" i="1"/>
  <c r="K253" i="1" s="1"/>
  <c r="K252" i="1"/>
  <c r="G252" i="1"/>
  <c r="G251" i="1"/>
  <c r="K251" i="1" s="1"/>
  <c r="K250" i="1"/>
  <c r="G250" i="1"/>
  <c r="L249" i="1"/>
  <c r="L250" i="1" s="1"/>
  <c r="L251" i="1" s="1"/>
  <c r="L252" i="1" s="1"/>
  <c r="L253" i="1" s="1"/>
  <c r="L254" i="1" s="1"/>
  <c r="E249" i="1"/>
  <c r="G248" i="1"/>
  <c r="K248" i="1" s="1"/>
  <c r="K247" i="1"/>
  <c r="G247" i="1"/>
  <c r="L246" i="1"/>
  <c r="L247" i="1" s="1"/>
  <c r="L248" i="1" s="1"/>
  <c r="G246" i="1"/>
  <c r="K246" i="1" s="1"/>
  <c r="L245" i="1"/>
  <c r="E245" i="1"/>
  <c r="K244" i="1"/>
  <c r="G244" i="1"/>
  <c r="G243" i="1"/>
  <c r="K243" i="1" s="1"/>
  <c r="K242" i="1"/>
  <c r="G242" i="1"/>
  <c r="G241" i="1"/>
  <c r="L241" i="1" s="1"/>
  <c r="L242" i="1" s="1"/>
  <c r="L243" i="1" s="1"/>
  <c r="L244" i="1" s="1"/>
  <c r="L240" i="1"/>
  <c r="E240" i="1"/>
  <c r="G238" i="1"/>
  <c r="K238" i="1" s="1"/>
  <c r="K237" i="1"/>
  <c r="G237" i="1"/>
  <c r="G236" i="1"/>
  <c r="K236" i="1" s="1"/>
  <c r="K235" i="1"/>
  <c r="G235" i="1"/>
  <c r="L234" i="1"/>
  <c r="L235" i="1" s="1"/>
  <c r="L236" i="1" s="1"/>
  <c r="L237" i="1" s="1"/>
  <c r="L238" i="1" s="1"/>
  <c r="L239" i="1" s="1"/>
  <c r="E234" i="1"/>
  <c r="G233" i="1"/>
  <c r="K233" i="1" s="1"/>
  <c r="K232" i="1"/>
  <c r="G232" i="1"/>
  <c r="G231" i="1"/>
  <c r="K231" i="1" s="1"/>
  <c r="E230" i="1"/>
  <c r="D230" i="1"/>
  <c r="L230" i="1" s="1"/>
  <c r="L231" i="1" s="1"/>
  <c r="L232" i="1" s="1"/>
  <c r="L233" i="1" s="1"/>
  <c r="G229" i="1"/>
  <c r="K229" i="1" s="1"/>
  <c r="K228" i="1"/>
  <c r="G228" i="1"/>
  <c r="L227" i="1"/>
  <c r="L228" i="1" s="1"/>
  <c r="L229" i="1" s="1"/>
  <c r="G227" i="1"/>
  <c r="K227" i="1" s="1"/>
  <c r="L226" i="1"/>
  <c r="E226" i="1"/>
  <c r="K225" i="1"/>
  <c r="G225" i="1"/>
  <c r="G224" i="1"/>
  <c r="K224" i="1" s="1"/>
  <c r="K223" i="1"/>
  <c r="G223" i="1"/>
  <c r="G222" i="1"/>
  <c r="L222" i="1" s="1"/>
  <c r="L223" i="1" s="1"/>
  <c r="L224" i="1" s="1"/>
  <c r="L225" i="1" s="1"/>
  <c r="L221" i="1"/>
  <c r="E221" i="1"/>
  <c r="D221" i="1"/>
  <c r="G220" i="1"/>
  <c r="K220" i="1" s="1"/>
  <c r="K219" i="1"/>
  <c r="G219" i="1"/>
  <c r="L218" i="1"/>
  <c r="L219" i="1" s="1"/>
  <c r="L220" i="1" s="1"/>
  <c r="E218" i="1"/>
  <c r="G217" i="1"/>
  <c r="K217" i="1" s="1"/>
  <c r="K216" i="1"/>
  <c r="G216" i="1"/>
  <c r="G215" i="1"/>
  <c r="L215" i="1" s="1"/>
  <c r="L216" i="1" s="1"/>
  <c r="L217" i="1" s="1"/>
  <c r="L214" i="1"/>
  <c r="E214" i="1"/>
  <c r="K213" i="1"/>
  <c r="G213" i="1"/>
  <c r="G212" i="1"/>
  <c r="K212" i="1" s="1"/>
  <c r="K211" i="1"/>
  <c r="G211" i="1"/>
  <c r="G210" i="1"/>
  <c r="K210" i="1" s="1"/>
  <c r="K209" i="1"/>
  <c r="G209" i="1"/>
  <c r="G208" i="1"/>
  <c r="K208" i="1" s="1"/>
  <c r="K207" i="1"/>
  <c r="G207" i="1"/>
  <c r="G206" i="1"/>
  <c r="K206" i="1" s="1"/>
  <c r="K205" i="1"/>
  <c r="G205" i="1"/>
  <c r="G204" i="1"/>
  <c r="L204" i="1" s="1"/>
  <c r="L205" i="1" s="1"/>
  <c r="L206" i="1" s="1"/>
  <c r="L207" i="1" s="1"/>
  <c r="L208" i="1" s="1"/>
  <c r="L209" i="1" s="1"/>
  <c r="L210" i="1" s="1"/>
  <c r="L211" i="1" s="1"/>
  <c r="L212" i="1" s="1"/>
  <c r="L213" i="1" s="1"/>
  <c r="L203" i="1"/>
  <c r="E203" i="1"/>
  <c r="K202" i="1"/>
  <c r="G202" i="1"/>
  <c r="G201" i="1"/>
  <c r="K201" i="1" s="1"/>
  <c r="K200" i="1"/>
  <c r="G200" i="1"/>
  <c r="G199" i="1"/>
  <c r="K199" i="1" s="1"/>
  <c r="K198" i="1"/>
  <c r="G198" i="1"/>
  <c r="D197" i="1"/>
  <c r="L197" i="1" s="1"/>
  <c r="L198" i="1" s="1"/>
  <c r="L199" i="1" s="1"/>
  <c r="L200" i="1" s="1"/>
  <c r="L201" i="1" s="1"/>
  <c r="L202" i="1" s="1"/>
  <c r="K196" i="1"/>
  <c r="G196" i="1"/>
  <c r="G195" i="1"/>
  <c r="K195" i="1" s="1"/>
  <c r="K194" i="1"/>
  <c r="G194" i="1"/>
  <c r="G193" i="1"/>
  <c r="L193" i="1" s="1"/>
  <c r="L194" i="1" s="1"/>
  <c r="L195" i="1" s="1"/>
  <c r="L196" i="1" s="1"/>
  <c r="L192" i="1"/>
  <c r="E192" i="1"/>
  <c r="K191" i="1"/>
  <c r="G191" i="1"/>
  <c r="G190" i="1"/>
  <c r="K190" i="1" s="1"/>
  <c r="K189" i="1"/>
  <c r="G189" i="1"/>
  <c r="L188" i="1"/>
  <c r="L189" i="1" s="1"/>
  <c r="L190" i="1" s="1"/>
  <c r="L191" i="1" s="1"/>
  <c r="E188" i="1"/>
  <c r="G187" i="1"/>
  <c r="K187" i="1" s="1"/>
  <c r="K186" i="1"/>
  <c r="G186" i="1"/>
  <c r="G185" i="1"/>
  <c r="K185" i="1" s="1"/>
  <c r="K184" i="1"/>
  <c r="G184" i="1"/>
  <c r="G183" i="1"/>
  <c r="K183" i="1" s="1"/>
  <c r="K182" i="1"/>
  <c r="G182" i="1"/>
  <c r="L181" i="1"/>
  <c r="L182" i="1" s="1"/>
  <c r="L183" i="1" s="1"/>
  <c r="L184" i="1" s="1"/>
  <c r="L185" i="1" s="1"/>
  <c r="L186" i="1" s="1"/>
  <c r="L187" i="1" s="1"/>
  <c r="K181" i="1"/>
  <c r="L180" i="1"/>
  <c r="E180" i="1"/>
  <c r="G179" i="1"/>
  <c r="K179" i="1" s="1"/>
  <c r="K178" i="1"/>
  <c r="L177" i="1"/>
  <c r="L178" i="1" s="1"/>
  <c r="L179" i="1" s="1"/>
  <c r="K177" i="1"/>
  <c r="L176" i="1"/>
  <c r="E176" i="1"/>
  <c r="K175" i="1"/>
  <c r="G175" i="1"/>
  <c r="G174" i="1"/>
  <c r="K174" i="1" s="1"/>
  <c r="K173" i="1"/>
  <c r="G173" i="1"/>
  <c r="G172" i="1"/>
  <c r="K172" i="1" s="1"/>
  <c r="K171" i="1"/>
  <c r="G171" i="1"/>
  <c r="L170" i="1"/>
  <c r="L171" i="1" s="1"/>
  <c r="L172" i="1" s="1"/>
  <c r="L173" i="1" s="1"/>
  <c r="L174" i="1" s="1"/>
  <c r="L175" i="1" s="1"/>
  <c r="G170" i="1"/>
  <c r="K170" i="1" s="1"/>
  <c r="L169" i="1"/>
  <c r="E169" i="1"/>
  <c r="K168" i="1"/>
  <c r="G168" i="1"/>
  <c r="G167" i="1"/>
  <c r="K167" i="1" s="1"/>
  <c r="K166" i="1"/>
  <c r="K165" i="1"/>
  <c r="K164" i="1"/>
  <c r="K163" i="1"/>
  <c r="K162" i="1"/>
  <c r="L161" i="1"/>
  <c r="L162" i="1" s="1"/>
  <c r="L163" i="1" s="1"/>
  <c r="L164" i="1" s="1"/>
  <c r="L165" i="1" s="1"/>
  <c r="L166" i="1" s="1"/>
  <c r="L167" i="1" s="1"/>
  <c r="L168" i="1" s="1"/>
  <c r="K161" i="1"/>
  <c r="L160" i="1"/>
  <c r="E160" i="1"/>
  <c r="K159" i="1"/>
  <c r="G159" i="1"/>
  <c r="G158" i="1"/>
  <c r="K158" i="1" s="1"/>
  <c r="K157" i="1"/>
  <c r="G157" i="1"/>
  <c r="K156" i="1"/>
  <c r="K155" i="1"/>
  <c r="K154" i="1"/>
  <c r="K153" i="1"/>
  <c r="K152" i="1"/>
  <c r="K151" i="1"/>
  <c r="K150" i="1"/>
  <c r="K149" i="1"/>
  <c r="K148" i="1"/>
  <c r="L147" i="1"/>
  <c r="L148" i="1" s="1"/>
  <c r="L149" i="1" s="1"/>
  <c r="L150" i="1" s="1"/>
  <c r="L151" i="1" s="1"/>
  <c r="L152" i="1" s="1"/>
  <c r="L153" i="1" s="1"/>
  <c r="L154" i="1" s="1"/>
  <c r="L155" i="1" s="1"/>
  <c r="L156" i="1" s="1"/>
  <c r="L157" i="1" s="1"/>
  <c r="L158" i="1" s="1"/>
  <c r="L159" i="1" s="1"/>
  <c r="E147" i="1"/>
  <c r="G146" i="1"/>
  <c r="K146" i="1" s="1"/>
  <c r="K145" i="1"/>
  <c r="K144" i="1"/>
  <c r="K143" i="1"/>
  <c r="K142" i="1"/>
  <c r="K141" i="1"/>
  <c r="K140" i="1"/>
  <c r="K139" i="1"/>
  <c r="K138" i="1"/>
  <c r="K137" i="1"/>
  <c r="K136" i="1"/>
  <c r="L135" i="1"/>
  <c r="L136" i="1" s="1"/>
  <c r="L137" i="1" s="1"/>
  <c r="L138" i="1" s="1"/>
  <c r="L139" i="1" s="1"/>
  <c r="L140" i="1" s="1"/>
  <c r="L141" i="1" s="1"/>
  <c r="L142" i="1" s="1"/>
  <c r="L143" i="1" s="1"/>
  <c r="L144" i="1" s="1"/>
  <c r="L145" i="1" s="1"/>
  <c r="L146" i="1" s="1"/>
  <c r="E135" i="1"/>
  <c r="K134" i="1"/>
  <c r="G134" i="1"/>
  <c r="K133" i="1"/>
  <c r="K132" i="1"/>
  <c r="K131" i="1"/>
  <c r="K130" i="1"/>
  <c r="D129" i="1"/>
  <c r="L129" i="1" s="1"/>
  <c r="L130" i="1" s="1"/>
  <c r="L131" i="1" s="1"/>
  <c r="L132" i="1" s="1"/>
  <c r="L133" i="1" s="1"/>
  <c r="L134" i="1" s="1"/>
  <c r="K128" i="1"/>
  <c r="G128" i="1"/>
  <c r="G127" i="1"/>
  <c r="K127" i="1" s="1"/>
  <c r="K126" i="1"/>
  <c r="K125" i="1"/>
  <c r="K124" i="1"/>
  <c r="K123" i="1"/>
  <c r="K122" i="1"/>
  <c r="K121" i="1"/>
  <c r="K120" i="1"/>
  <c r="K119" i="1"/>
  <c r="K118" i="1"/>
  <c r="L117" i="1"/>
  <c r="L118" i="1" s="1"/>
  <c r="L119" i="1" s="1"/>
  <c r="L120" i="1" s="1"/>
  <c r="L121" i="1" s="1"/>
  <c r="L122" i="1" s="1"/>
  <c r="L123" i="1" s="1"/>
  <c r="L124" i="1" s="1"/>
  <c r="L125" i="1" s="1"/>
  <c r="L126" i="1" s="1"/>
  <c r="L127" i="1" s="1"/>
  <c r="L128" i="1" s="1"/>
  <c r="E117" i="1"/>
  <c r="K116" i="1"/>
  <c r="G116" i="1"/>
  <c r="G115" i="1"/>
  <c r="K115" i="1" s="1"/>
  <c r="K114" i="1"/>
  <c r="G114" i="1"/>
  <c r="G113" i="1"/>
  <c r="K113" i="1" s="1"/>
  <c r="K112" i="1"/>
  <c r="G112" i="1"/>
  <c r="G111" i="1"/>
  <c r="K111" i="1" s="1"/>
  <c r="K110" i="1"/>
  <c r="G110" i="1"/>
  <c r="G109" i="1"/>
  <c r="K109" i="1" s="1"/>
  <c r="K108" i="1"/>
  <c r="G108" i="1"/>
  <c r="G107" i="1"/>
  <c r="K107" i="1" s="1"/>
  <c r="K106" i="1"/>
  <c r="G106" i="1"/>
  <c r="L105" i="1"/>
  <c r="L106" i="1" s="1"/>
  <c r="L107" i="1" s="1"/>
  <c r="L108" i="1" s="1"/>
  <c r="L109" i="1" s="1"/>
  <c r="L110" i="1" s="1"/>
  <c r="L111" i="1" s="1"/>
  <c r="L112" i="1" s="1"/>
  <c r="L113" i="1" s="1"/>
  <c r="L114" i="1" s="1"/>
  <c r="L115" i="1" s="1"/>
  <c r="L116" i="1" s="1"/>
  <c r="G105" i="1"/>
  <c r="K105" i="1" s="1"/>
  <c r="L104" i="1"/>
  <c r="E104" i="1"/>
  <c r="K103" i="1"/>
  <c r="G103" i="1"/>
  <c r="K102" i="1"/>
  <c r="K101" i="1"/>
  <c r="K100" i="1"/>
  <c r="K99" i="1"/>
  <c r="K98" i="1"/>
  <c r="K97" i="1"/>
  <c r="K96" i="1"/>
  <c r="K95" i="1"/>
  <c r="K94" i="1"/>
  <c r="K93" i="1"/>
  <c r="K92" i="1"/>
  <c r="K91" i="1"/>
  <c r="L90" i="1"/>
  <c r="L91" i="1" s="1"/>
  <c r="L92" i="1" s="1"/>
  <c r="L93" i="1" s="1"/>
  <c r="L94" i="1" s="1"/>
  <c r="L95" i="1" s="1"/>
  <c r="L96" i="1" s="1"/>
  <c r="L97" i="1" s="1"/>
  <c r="L98" i="1" s="1"/>
  <c r="L99" i="1" s="1"/>
  <c r="L100" i="1" s="1"/>
  <c r="L101" i="1" s="1"/>
  <c r="L102" i="1" s="1"/>
  <c r="L103" i="1" s="1"/>
  <c r="G90" i="1"/>
  <c r="K90" i="1" s="1"/>
  <c r="L89" i="1"/>
  <c r="E89" i="1"/>
  <c r="K88" i="1"/>
  <c r="K87" i="1"/>
  <c r="K86" i="1"/>
  <c r="K85" i="1"/>
  <c r="K84" i="1"/>
  <c r="K83" i="1"/>
  <c r="K82" i="1"/>
  <c r="K81" i="1"/>
  <c r="K80" i="1"/>
  <c r="K79" i="1"/>
  <c r="K78" i="1"/>
  <c r="G78" i="1"/>
  <c r="L77" i="1"/>
  <c r="L78" i="1" s="1"/>
  <c r="L79" i="1" s="1"/>
  <c r="L80" i="1" s="1"/>
  <c r="L81" i="1" s="1"/>
  <c r="L82" i="1" s="1"/>
  <c r="L83" i="1" s="1"/>
  <c r="L84" i="1" s="1"/>
  <c r="L85" i="1" s="1"/>
  <c r="L86" i="1" s="1"/>
  <c r="L87" i="1" s="1"/>
  <c r="L88" i="1" s="1"/>
  <c r="E77" i="1"/>
  <c r="G76" i="1"/>
  <c r="K76" i="1" s="1"/>
  <c r="K75" i="1"/>
  <c r="G75" i="1"/>
  <c r="G74" i="1"/>
  <c r="K74" i="1" s="1"/>
  <c r="K73" i="1"/>
  <c r="G73" i="1"/>
  <c r="G72" i="1"/>
  <c r="K72" i="1" s="1"/>
  <c r="K71" i="1"/>
  <c r="G71" i="1"/>
  <c r="G70" i="1"/>
  <c r="K70" i="1" s="1"/>
  <c r="K69" i="1"/>
  <c r="G69" i="1"/>
  <c r="G68" i="1"/>
  <c r="K68" i="1" s="1"/>
  <c r="K67" i="1"/>
  <c r="G67" i="1"/>
  <c r="G66" i="1"/>
  <c r="K66" i="1" s="1"/>
  <c r="K65" i="1"/>
  <c r="G65" i="1"/>
  <c r="L64" i="1"/>
  <c r="L65" i="1" s="1"/>
  <c r="L66" i="1" s="1"/>
  <c r="L67" i="1" s="1"/>
  <c r="L68" i="1" s="1"/>
  <c r="L69" i="1" s="1"/>
  <c r="L70" i="1" s="1"/>
  <c r="L71" i="1" s="1"/>
  <c r="L72" i="1" s="1"/>
  <c r="L73" i="1" s="1"/>
  <c r="L74" i="1" s="1"/>
  <c r="L75" i="1" s="1"/>
  <c r="L76" i="1" s="1"/>
  <c r="E64" i="1"/>
  <c r="G63" i="1"/>
  <c r="K63" i="1" s="1"/>
  <c r="K62" i="1"/>
  <c r="G62" i="1"/>
  <c r="G61" i="1"/>
  <c r="K61" i="1" s="1"/>
  <c r="K60" i="1"/>
  <c r="G60" i="1"/>
  <c r="L59" i="1"/>
  <c r="L60" i="1" s="1"/>
  <c r="L61" i="1" s="1"/>
  <c r="L62" i="1" s="1"/>
  <c r="L63" i="1" s="1"/>
  <c r="E59" i="1"/>
  <c r="K58" i="1"/>
  <c r="K57" i="1"/>
  <c r="K56" i="1"/>
  <c r="K55" i="1"/>
  <c r="K54" i="1"/>
  <c r="K53" i="1"/>
  <c r="K52" i="1"/>
  <c r="L51" i="1"/>
  <c r="L52" i="1" s="1"/>
  <c r="L53" i="1" s="1"/>
  <c r="L54" i="1" s="1"/>
  <c r="L55" i="1" s="1"/>
  <c r="L56" i="1" s="1"/>
  <c r="L57" i="1" s="1"/>
  <c r="L58" i="1" s="1"/>
  <c r="D51" i="1"/>
  <c r="E51" i="1" s="1"/>
  <c r="K50" i="1"/>
  <c r="G50" i="1"/>
  <c r="K49" i="1"/>
  <c r="G48" i="1"/>
  <c r="K48" i="1" s="1"/>
  <c r="K47" i="1"/>
  <c r="G47" i="1"/>
  <c r="G46" i="1"/>
  <c r="L46" i="1" s="1"/>
  <c r="L47" i="1" s="1"/>
  <c r="L48" i="1" s="1"/>
  <c r="L49" i="1" s="1"/>
  <c r="L50" i="1" s="1"/>
  <c r="L45" i="1"/>
  <c r="E45" i="1"/>
  <c r="K44" i="1"/>
  <c r="G44" i="1"/>
  <c r="K43" i="1"/>
  <c r="K42" i="1"/>
  <c r="K41" i="1"/>
  <c r="G40" i="1"/>
  <c r="K40" i="1" s="1"/>
  <c r="L40" i="1" s="1"/>
  <c r="L41" i="1" s="1"/>
  <c r="L42" i="1" s="1"/>
  <c r="L43" i="1" s="1"/>
  <c r="L44" i="1" s="1"/>
  <c r="L39" i="1"/>
  <c r="E39" i="1"/>
  <c r="K38" i="1"/>
  <c r="G38" i="1"/>
  <c r="L37" i="1"/>
  <c r="L38" i="1" s="1"/>
  <c r="K37" i="1"/>
  <c r="L36" i="1"/>
  <c r="E36" i="1"/>
  <c r="L31" i="1"/>
  <c r="L32" i="1" s="1"/>
  <c r="L33" i="1" s="1"/>
  <c r="L34" i="1" s="1"/>
  <c r="L35" i="1" s="1"/>
  <c r="L30" i="1"/>
  <c r="L23" i="1"/>
  <c r="L24" i="1" s="1"/>
  <c r="L25" i="1" s="1"/>
  <c r="L26" i="1" s="1"/>
  <c r="L27" i="1" s="1"/>
  <c r="L28" i="1" s="1"/>
  <c r="L29" i="1" s="1"/>
  <c r="D23" i="1"/>
  <c r="E23" i="1" s="1"/>
  <c r="L19" i="1"/>
  <c r="L20" i="1" s="1"/>
  <c r="L21" i="1" s="1"/>
  <c r="L22" i="1" s="1"/>
  <c r="L18" i="1"/>
  <c r="E18" i="1"/>
  <c r="K15" i="1"/>
  <c r="K14" i="1"/>
  <c r="G14" i="1"/>
  <c r="G13" i="1"/>
  <c r="K13" i="1" s="1"/>
  <c r="L13" i="1" s="1"/>
  <c r="L14" i="1" s="1"/>
  <c r="L15" i="1" s="1"/>
  <c r="L16" i="1" s="1"/>
  <c r="L17" i="1" s="1"/>
  <c r="L12" i="1"/>
  <c r="E12" i="1"/>
  <c r="K11" i="1"/>
  <c r="K10" i="1"/>
  <c r="K9" i="1"/>
  <c r="K8" i="1"/>
  <c r="K7" i="1"/>
  <c r="L6" i="1"/>
  <c r="L7" i="1" s="1"/>
  <c r="L8" i="1" s="1"/>
  <c r="L9" i="1" s="1"/>
  <c r="L10" i="1" s="1"/>
  <c r="L11" i="1" s="1"/>
  <c r="K6" i="1"/>
  <c r="K5" i="1"/>
  <c r="D4" i="1"/>
  <c r="L4" i="1" s="1"/>
  <c r="L599" i="1" l="1"/>
  <c r="L600" i="1" s="1"/>
  <c r="L601" i="1" s="1"/>
  <c r="L602" i="1" s="1"/>
  <c r="K599" i="1"/>
  <c r="L617" i="1"/>
  <c r="L618" i="1" s="1"/>
  <c r="L619" i="1" s="1"/>
  <c r="L620" i="1" s="1"/>
  <c r="L621" i="1" s="1"/>
  <c r="L622" i="1" s="1"/>
  <c r="L623" i="1" s="1"/>
  <c r="L624" i="1" s="1"/>
  <c r="L625" i="1" s="1"/>
  <c r="L626" i="1" s="1"/>
  <c r="L627" i="1" s="1"/>
  <c r="L628" i="1" s="1"/>
  <c r="K617" i="1"/>
  <c r="L721" i="1"/>
  <c r="L722" i="1" s="1"/>
  <c r="L723" i="1" s="1"/>
  <c r="L724" i="1" s="1"/>
  <c r="L725" i="1" s="1"/>
  <c r="L726" i="1" s="1"/>
  <c r="L727" i="1" s="1"/>
  <c r="L728" i="1" s="1"/>
  <c r="L729" i="1" s="1"/>
  <c r="L730" i="1" s="1"/>
  <c r="L731" i="1" s="1"/>
  <c r="L732" i="1" s="1"/>
  <c r="L733" i="1" s="1"/>
  <c r="L734" i="1" s="1"/>
  <c r="L735" i="1" s="1"/>
  <c r="L736" i="1" s="1"/>
  <c r="L737" i="1" s="1"/>
  <c r="L738" i="1" s="1"/>
  <c r="K721" i="1"/>
  <c r="L890" i="1"/>
  <c r="L891" i="1" s="1"/>
  <c r="L892" i="1" s="1"/>
  <c r="K890" i="1"/>
  <c r="L1203" i="1"/>
  <c r="L1204" i="1" s="1"/>
  <c r="L1205" i="1" s="1"/>
  <c r="L1206" i="1" s="1"/>
  <c r="L1207" i="1" s="1"/>
  <c r="L1208" i="1" s="1"/>
  <c r="L1209" i="1" s="1"/>
  <c r="L1210" i="1" s="1"/>
  <c r="L1211" i="1" s="1"/>
  <c r="L1212" i="1" s="1"/>
  <c r="L1213" i="1" s="1"/>
  <c r="L1214" i="1" s="1"/>
  <c r="L1215" i="1" s="1"/>
  <c r="O1208" i="1" s="1"/>
  <c r="K1203" i="1"/>
  <c r="K1492" i="1"/>
  <c r="L1492" i="1"/>
  <c r="L1493" i="1" s="1"/>
  <c r="L1494" i="1" s="1"/>
  <c r="L1495" i="1" s="1"/>
  <c r="O1490" i="1" s="1"/>
  <c r="E4" i="1"/>
  <c r="K46" i="1"/>
  <c r="E129" i="1"/>
  <c r="K193" i="1"/>
  <c r="E197" i="1"/>
  <c r="K204" i="1"/>
  <c r="K215" i="1"/>
  <c r="K222" i="1"/>
  <c r="K241" i="1"/>
  <c r="E255" i="1"/>
  <c r="K286" i="1"/>
  <c r="L398" i="1"/>
  <c r="L399" i="1" s="1"/>
  <c r="L400" i="1" s="1"/>
  <c r="L401" i="1" s="1"/>
  <c r="L443" i="1"/>
  <c r="L444" i="1" s="1"/>
  <c r="L445" i="1" s="1"/>
  <c r="L480" i="1"/>
  <c r="L481" i="1" s="1"/>
  <c r="L482" i="1" s="1"/>
  <c r="L483" i="1" s="1"/>
  <c r="L484" i="1" s="1"/>
  <c r="L485" i="1" s="1"/>
  <c r="K480" i="1"/>
  <c r="L487" i="1"/>
  <c r="L488" i="1" s="1"/>
  <c r="L489" i="1" s="1"/>
  <c r="L490" i="1" s="1"/>
  <c r="L491" i="1" s="1"/>
  <c r="L492" i="1" s="1"/>
  <c r="K487" i="1"/>
  <c r="L494" i="1"/>
  <c r="L495" i="1" s="1"/>
  <c r="L496" i="1" s="1"/>
  <c r="L497" i="1" s="1"/>
  <c r="L498" i="1" s="1"/>
  <c r="K494" i="1"/>
  <c r="L568" i="1"/>
  <c r="L569" i="1" s="1"/>
  <c r="L570" i="1" s="1"/>
  <c r="L571" i="1" s="1"/>
  <c r="L572" i="1" s="1"/>
  <c r="L573" i="1" s="1"/>
  <c r="L574" i="1" s="1"/>
  <c r="L575" i="1" s="1"/>
  <c r="L576" i="1" s="1"/>
  <c r="L577" i="1" s="1"/>
  <c r="L578" i="1" s="1"/>
  <c r="L579" i="1" s="1"/>
  <c r="L658" i="1"/>
  <c r="L659" i="1" s="1"/>
  <c r="L660" i="1" s="1"/>
  <c r="K658" i="1"/>
  <c r="L680" i="1"/>
  <c r="L681" i="1" s="1"/>
  <c r="L682" i="1" s="1"/>
  <c r="L683" i="1" s="1"/>
  <c r="L684" i="1" s="1"/>
  <c r="L685" i="1" s="1"/>
  <c r="L686" i="1" s="1"/>
  <c r="L687" i="1" s="1"/>
  <c r="L688" i="1" s="1"/>
  <c r="L689" i="1" s="1"/>
  <c r="L690" i="1" s="1"/>
  <c r="L691" i="1" s="1"/>
  <c r="L692" i="1" s="1"/>
  <c r="L693" i="1" s="1"/>
  <c r="K680" i="1"/>
  <c r="L740" i="1"/>
  <c r="L741" i="1" s="1"/>
  <c r="L742" i="1" s="1"/>
  <c r="L743" i="1" s="1"/>
  <c r="L744" i="1" s="1"/>
  <c r="L745" i="1" s="1"/>
  <c r="L746" i="1" s="1"/>
  <c r="L747" i="1" s="1"/>
  <c r="L748" i="1" s="1"/>
  <c r="L749" i="1" s="1"/>
  <c r="L750" i="1" s="1"/>
  <c r="L751" i="1" s="1"/>
  <c r="K740" i="1"/>
  <c r="L779" i="1"/>
  <c r="L780" i="1" s="1"/>
  <c r="L781" i="1" s="1"/>
  <c r="L782" i="1" s="1"/>
  <c r="L783" i="1" s="1"/>
  <c r="L784" i="1" s="1"/>
  <c r="L785" i="1" s="1"/>
  <c r="L786" i="1" s="1"/>
  <c r="L787" i="1" s="1"/>
  <c r="L823" i="1"/>
  <c r="L824" i="1" s="1"/>
  <c r="L825" i="1" s="1"/>
  <c r="L826" i="1" s="1"/>
  <c r="L827" i="1" s="1"/>
  <c r="L828" i="1" s="1"/>
  <c r="L829" i="1" s="1"/>
  <c r="L830" i="1" s="1"/>
  <c r="L831" i="1" s="1"/>
  <c r="L832" i="1" s="1"/>
  <c r="L865" i="1"/>
  <c r="L866" i="1" s="1"/>
  <c r="L867" i="1" s="1"/>
  <c r="L868" i="1" s="1"/>
  <c r="L869" i="1" s="1"/>
  <c r="L870" i="1" s="1"/>
  <c r="L871" i="1" s="1"/>
  <c r="L872" i="1" s="1"/>
  <c r="L873" i="1" s="1"/>
  <c r="L874" i="1" s="1"/>
  <c r="L907" i="1"/>
  <c r="L908" i="1" s="1"/>
  <c r="L910" i="1"/>
  <c r="L911" i="1" s="1"/>
  <c r="L912" i="1" s="1"/>
  <c r="K910" i="1"/>
  <c r="L919" i="1"/>
  <c r="L920" i="1" s="1"/>
  <c r="L921" i="1" s="1"/>
  <c r="L965" i="1"/>
  <c r="L966" i="1" s="1"/>
  <c r="L967" i="1" s="1"/>
  <c r="L968" i="1" s="1"/>
  <c r="L969" i="1" s="1"/>
  <c r="L970" i="1" s="1"/>
  <c r="L971" i="1" s="1"/>
  <c r="L972" i="1" s="1"/>
  <c r="L973" i="1" s="1"/>
  <c r="L974" i="1" s="1"/>
  <c r="L975" i="1" s="1"/>
  <c r="L976" i="1" s="1"/>
  <c r="O971" i="1" s="1"/>
  <c r="K965" i="1"/>
  <c r="L979" i="1"/>
  <c r="L980" i="1" s="1"/>
  <c r="L981" i="1" s="1"/>
  <c r="L982" i="1" s="1"/>
  <c r="L983" i="1" s="1"/>
  <c r="L984" i="1" s="1"/>
  <c r="L985" i="1" s="1"/>
  <c r="L986" i="1" s="1"/>
  <c r="L987" i="1" s="1"/>
  <c r="L988" i="1" s="1"/>
  <c r="L989" i="1" s="1"/>
  <c r="L990" i="1" s="1"/>
  <c r="L991" i="1" s="1"/>
  <c r="L992" i="1" s="1"/>
  <c r="L993" i="1" s="1"/>
  <c r="O984" i="1" s="1"/>
  <c r="L1059" i="1"/>
  <c r="L1060" i="1" s="1"/>
  <c r="L1061" i="1" s="1"/>
  <c r="L1062" i="1" s="1"/>
  <c r="L1063" i="1" s="1"/>
  <c r="L1064" i="1" s="1"/>
  <c r="O1063" i="1" s="1"/>
  <c r="L1067" i="1"/>
  <c r="L1068" i="1" s="1"/>
  <c r="L1069" i="1" s="1"/>
  <c r="L1070" i="1" s="1"/>
  <c r="L1071" i="1" s="1"/>
  <c r="L1072" i="1" s="1"/>
  <c r="L1073" i="1" s="1"/>
  <c r="L1074" i="1" s="1"/>
  <c r="L1075" i="1" s="1"/>
  <c r="L1076" i="1" s="1"/>
  <c r="L1077" i="1" s="1"/>
  <c r="O1072" i="1" s="1"/>
  <c r="L1087" i="1"/>
  <c r="L1088" i="1" s="1"/>
  <c r="L1089" i="1" s="1"/>
  <c r="L1090" i="1" s="1"/>
  <c r="L1091" i="1" s="1"/>
  <c r="L1092" i="1" s="1"/>
  <c r="L1093" i="1" s="1"/>
  <c r="L1094" i="1" s="1"/>
  <c r="L1095" i="1" s="1"/>
  <c r="L1096" i="1" s="1"/>
  <c r="L1097" i="1" s="1"/>
  <c r="O1092" i="1" s="1"/>
  <c r="L1168" i="1"/>
  <c r="L1169" i="1" s="1"/>
  <c r="L1170" i="1" s="1"/>
  <c r="L1171" i="1" s="1"/>
  <c r="L1172" i="1" s="1"/>
  <c r="L1173" i="1" s="1"/>
  <c r="L1174" i="1" s="1"/>
  <c r="L1175" i="1" s="1"/>
  <c r="L1176" i="1" s="1"/>
  <c r="L1177" i="1" s="1"/>
  <c r="L1178" i="1" s="1"/>
  <c r="L1179" i="1" s="1"/>
  <c r="O1175" i="1" s="1"/>
  <c r="K1391" i="1"/>
  <c r="L1391" i="1"/>
  <c r="L1392" i="1" s="1"/>
  <c r="L1393" i="1" s="1"/>
  <c r="O1391" i="1" s="1"/>
  <c r="K1407" i="1"/>
  <c r="L1407" i="1"/>
  <c r="L1408" i="1" s="1"/>
  <c r="L1409" i="1" s="1"/>
  <c r="L1410" i="1" s="1"/>
  <c r="L1411" i="1" s="1"/>
  <c r="L1412" i="1" s="1"/>
  <c r="L1413" i="1" s="1"/>
  <c r="O1412" i="1" s="1"/>
  <c r="E1441" i="1"/>
  <c r="L1441" i="1" s="1"/>
  <c r="O1441" i="1" s="1"/>
  <c r="K1451" i="1"/>
  <c r="L1451" i="1"/>
  <c r="L1452" i="1" s="1"/>
  <c r="L1453" i="1" s="1"/>
  <c r="L1454" i="1" s="1"/>
  <c r="L1455" i="1" s="1"/>
  <c r="L1456" i="1" s="1"/>
  <c r="O1451" i="1" s="1"/>
  <c r="K1511" i="1"/>
  <c r="L1511" i="1"/>
  <c r="L1512" i="1" s="1"/>
  <c r="L1513" i="1" s="1"/>
  <c r="L1514" i="1" s="1"/>
  <c r="O1511" i="1" s="1"/>
  <c r="L1522" i="1"/>
  <c r="L1523" i="1" s="1"/>
  <c r="O1521" i="1" s="1"/>
  <c r="L453" i="1"/>
  <c r="L454" i="1" s="1"/>
  <c r="L455" i="1" s="1"/>
  <c r="L456" i="1" s="1"/>
  <c r="L457" i="1" s="1"/>
  <c r="L458" i="1" s="1"/>
  <c r="L459" i="1" s="1"/>
  <c r="L460" i="1" s="1"/>
  <c r="L461" i="1" s="1"/>
  <c r="L462" i="1" s="1"/>
  <c r="K453" i="1"/>
  <c r="L801" i="1"/>
  <c r="L802" i="1" s="1"/>
  <c r="L803" i="1" s="1"/>
  <c r="L804" i="1" s="1"/>
  <c r="L805" i="1" s="1"/>
  <c r="L806" i="1" s="1"/>
  <c r="L807" i="1" s="1"/>
  <c r="L808" i="1" s="1"/>
  <c r="L809" i="1" s="1"/>
  <c r="K801" i="1"/>
  <c r="L936" i="1"/>
  <c r="L937" i="1" s="1"/>
  <c r="L938" i="1" s="1"/>
  <c r="L939" i="1" s="1"/>
  <c r="L940" i="1" s="1"/>
  <c r="L941" i="1" s="1"/>
  <c r="L942" i="1" s="1"/>
  <c r="L943" i="1" s="1"/>
  <c r="L944" i="1" s="1"/>
  <c r="L945" i="1" s="1"/>
  <c r="L946" i="1" s="1"/>
  <c r="L947" i="1" s="1"/>
  <c r="L948" i="1" s="1"/>
  <c r="L949" i="1" s="1"/>
  <c r="L950" i="1" s="1"/>
  <c r="L951" i="1" s="1"/>
  <c r="L952" i="1" s="1"/>
  <c r="L953" i="1" s="1"/>
  <c r="L954" i="1" s="1"/>
  <c r="L955" i="1" s="1"/>
  <c r="L956" i="1" s="1"/>
  <c r="L957" i="1" s="1"/>
  <c r="L958" i="1" s="1"/>
  <c r="L959" i="1" s="1"/>
  <c r="L960" i="1" s="1"/>
  <c r="L961" i="1" s="1"/>
  <c r="O946" i="1" s="1"/>
  <c r="E936" i="1"/>
  <c r="L1034" i="1"/>
  <c r="L1035" i="1" s="1"/>
  <c r="L1036" i="1" s="1"/>
  <c r="L1037" i="1" s="1"/>
  <c r="O1036" i="1" s="1"/>
  <c r="L1053" i="1"/>
  <c r="L1054" i="1" s="1"/>
  <c r="L1055" i="1" s="1"/>
  <c r="L1056" i="1" s="1"/>
  <c r="O1053" i="1" s="1"/>
  <c r="L1153" i="1"/>
  <c r="L1154" i="1" s="1"/>
  <c r="L1155" i="1" s="1"/>
  <c r="L1156" i="1" s="1"/>
  <c r="L1157" i="1" s="1"/>
  <c r="L1158" i="1" s="1"/>
  <c r="O1157" i="1" s="1"/>
  <c r="L1233" i="1"/>
  <c r="L1234" i="1" s="1"/>
  <c r="L1235" i="1" s="1"/>
  <c r="L1236" i="1" s="1"/>
  <c r="L1237" i="1" s="1"/>
  <c r="L1238" i="1" s="1"/>
  <c r="L1239" i="1" s="1"/>
  <c r="O1234" i="1" s="1"/>
  <c r="L312" i="1"/>
  <c r="L313" i="1" s="1"/>
  <c r="L314" i="1" s="1"/>
  <c r="L315" i="1" s="1"/>
  <c r="L316" i="1" s="1"/>
  <c r="L317" i="1" s="1"/>
  <c r="L318" i="1" s="1"/>
  <c r="L319" i="1" s="1"/>
  <c r="L320" i="1" s="1"/>
  <c r="L321" i="1" s="1"/>
  <c r="L322" i="1" s="1"/>
  <c r="L323" i="1" s="1"/>
  <c r="L324" i="1"/>
  <c r="L325" i="1" s="1"/>
  <c r="L326" i="1" s="1"/>
  <c r="L346" i="1"/>
  <c r="L347" i="1" s="1"/>
  <c r="L348" i="1" s="1"/>
  <c r="L349" i="1" s="1"/>
  <c r="L350" i="1" s="1"/>
  <c r="L351" i="1" s="1"/>
  <c r="L352" i="1" s="1"/>
  <c r="L353" i="1" s="1"/>
  <c r="L354" i="1" s="1"/>
  <c r="L355" i="1" s="1"/>
  <c r="L356" i="1" s="1"/>
  <c r="L357" i="1" s="1"/>
  <c r="L415" i="1"/>
  <c r="L416" i="1" s="1"/>
  <c r="L417" i="1" s="1"/>
  <c r="L418" i="1" s="1"/>
  <c r="L419" i="1" s="1"/>
  <c r="L420" i="1" s="1"/>
  <c r="L421" i="1" s="1"/>
  <c r="L422" i="1" s="1"/>
  <c r="L423" i="1" s="1"/>
  <c r="K415" i="1"/>
  <c r="L515" i="1"/>
  <c r="L516" i="1" s="1"/>
  <c r="L517" i="1" s="1"/>
  <c r="L518" i="1" s="1"/>
  <c r="L519" i="1" s="1"/>
  <c r="L522" i="1"/>
  <c r="L523" i="1" s="1"/>
  <c r="L524" i="1" s="1"/>
  <c r="L525" i="1" s="1"/>
  <c r="L526" i="1" s="1"/>
  <c r="L529" i="1"/>
  <c r="L530" i="1" s="1"/>
  <c r="L532" i="1"/>
  <c r="L533" i="1" s="1"/>
  <c r="L534" i="1" s="1"/>
  <c r="L535" i="1" s="1"/>
  <c r="K532" i="1"/>
  <c r="L545" i="1"/>
  <c r="L555" i="1"/>
  <c r="L556" i="1" s="1"/>
  <c r="L557" i="1" s="1"/>
  <c r="K555" i="1"/>
  <c r="L695" i="1"/>
  <c r="L696" i="1" s="1"/>
  <c r="L697" i="1" s="1"/>
  <c r="L698" i="1" s="1"/>
  <c r="L699" i="1" s="1"/>
  <c r="L700" i="1" s="1"/>
  <c r="L701" i="1" s="1"/>
  <c r="L702" i="1" s="1"/>
  <c r="L703" i="1" s="1"/>
  <c r="L704" i="1" s="1"/>
  <c r="L705" i="1" s="1"/>
  <c r="L706" i="1" s="1"/>
  <c r="L707" i="1" s="1"/>
  <c r="K695" i="1"/>
  <c r="L840" i="1"/>
  <c r="L841" i="1" s="1"/>
  <c r="L842" i="1" s="1"/>
  <c r="L843" i="1" s="1"/>
  <c r="L844" i="1" s="1"/>
  <c r="L845" i="1" s="1"/>
  <c r="L846" i="1" s="1"/>
  <c r="L847" i="1" s="1"/>
  <c r="L851" i="1"/>
  <c r="L852" i="1" s="1"/>
  <c r="L853" i="1" s="1"/>
  <c r="L854" i="1" s="1"/>
  <c r="L855" i="1" s="1"/>
  <c r="L856" i="1" s="1"/>
  <c r="L857" i="1" s="1"/>
  <c r="L876" i="1"/>
  <c r="L877" i="1" s="1"/>
  <c r="L878" i="1" s="1"/>
  <c r="K876" i="1"/>
  <c r="L929" i="1"/>
  <c r="L930" i="1" s="1"/>
  <c r="L932" i="1"/>
  <c r="L933" i="1" s="1"/>
  <c r="L934" i="1" s="1"/>
  <c r="L935" i="1" s="1"/>
  <c r="K932" i="1"/>
  <c r="L1079" i="1"/>
  <c r="L1080" i="1" s="1"/>
  <c r="L1081" i="1" s="1"/>
  <c r="L1082" i="1" s="1"/>
  <c r="L1083" i="1" s="1"/>
  <c r="L1084" i="1" s="1"/>
  <c r="L1085" i="1" s="1"/>
  <c r="O1084" i="1" s="1"/>
  <c r="L1119" i="1"/>
  <c r="L1120" i="1" s="1"/>
  <c r="L1121" i="1" s="1"/>
  <c r="L1122" i="1" s="1"/>
  <c r="L1123" i="1" s="1"/>
  <c r="L1124" i="1" s="1"/>
  <c r="L1125" i="1" s="1"/>
  <c r="L1126" i="1" s="1"/>
  <c r="L1127" i="1" s="1"/>
  <c r="L1128" i="1" s="1"/>
  <c r="L1129" i="1" s="1"/>
  <c r="O1124" i="1" s="1"/>
  <c r="K1395" i="1"/>
  <c r="L1395" i="1"/>
  <c r="L1396" i="1" s="1"/>
  <c r="L1397" i="1" s="1"/>
  <c r="L1398" i="1" s="1"/>
  <c r="L1399" i="1" s="1"/>
  <c r="L1400" i="1" s="1"/>
  <c r="L1401" i="1" s="1"/>
  <c r="L1402" i="1" s="1"/>
  <c r="L1403" i="1" s="1"/>
  <c r="L1404" i="1" s="1"/>
  <c r="L1405" i="1" s="1"/>
  <c r="O1399" i="1" s="1"/>
  <c r="L1444" i="1"/>
  <c r="L1445" i="1" s="1"/>
  <c r="L1446" i="1" s="1"/>
  <c r="L1447" i="1" s="1"/>
  <c r="L1448" i="1" s="1"/>
  <c r="L1449" i="1" s="1"/>
  <c r="O1443" i="1" s="1"/>
  <c r="K1479" i="1"/>
  <c r="L1479" i="1"/>
  <c r="L1480" i="1" s="1"/>
  <c r="L1481" i="1" s="1"/>
  <c r="L1482" i="1" s="1"/>
  <c r="L1483" i="1" s="1"/>
  <c r="O1479" i="1" s="1"/>
  <c r="L2022" i="1"/>
  <c r="L2023" i="1" s="1"/>
  <c r="L2024" i="1" s="1"/>
  <c r="L2025" i="1" s="1"/>
  <c r="L2026" i="1" s="1"/>
  <c r="O2023" i="1" s="1"/>
  <c r="E2022" i="1"/>
  <c r="L2045" i="1"/>
  <c r="L2046" i="1" s="1"/>
  <c r="L2047" i="1" s="1"/>
  <c r="L2048" i="1" s="1"/>
  <c r="L2049" i="1" s="1"/>
  <c r="L2050" i="1" s="1"/>
  <c r="L2051" i="1" s="1"/>
  <c r="L2052" i="1" s="1"/>
  <c r="L2053" i="1" s="1"/>
  <c r="L2054" i="1" s="1"/>
  <c r="L2055" i="1" s="1"/>
  <c r="L2056" i="1" s="1"/>
  <c r="L2057" i="1" s="1"/>
  <c r="L2058" i="1" s="1"/>
  <c r="L2059" i="1" s="1"/>
  <c r="L2060" i="1" s="1"/>
  <c r="L2061" i="1" s="1"/>
  <c r="L2062" i="1" s="1"/>
  <c r="L2063" i="1" s="1"/>
  <c r="L2064" i="1" s="1"/>
  <c r="L2065" i="1" s="1"/>
  <c r="L2066" i="1" s="1"/>
  <c r="L2067" i="1" s="1"/>
  <c r="L2068" i="1" s="1"/>
  <c r="O2046" i="1" s="1"/>
  <c r="E2045" i="1"/>
  <c r="T2382" i="1"/>
  <c r="T2383" i="1"/>
  <c r="L1605" i="1"/>
  <c r="L1606" i="1" s="1"/>
  <c r="L1607" i="1" s="1"/>
  <c r="L1608" i="1" s="1"/>
  <c r="L1609" i="1" s="1"/>
  <c r="L1610" i="1" s="1"/>
  <c r="L1611" i="1" s="1"/>
  <c r="L1612" i="1" s="1"/>
  <c r="L1613" i="1" s="1"/>
  <c r="L1614" i="1" s="1"/>
  <c r="O1603" i="1" s="1"/>
  <c r="L1617" i="1"/>
  <c r="L1618" i="1" s="1"/>
  <c r="L1619" i="1" s="1"/>
  <c r="L1620" i="1" s="1"/>
  <c r="L1621" i="1" s="1"/>
  <c r="L1622" i="1" s="1"/>
  <c r="L1623" i="1" s="1"/>
  <c r="L1624" i="1" s="1"/>
  <c r="L1625" i="1" s="1"/>
  <c r="L1626" i="1" s="1"/>
  <c r="L1627" i="1" s="1"/>
  <c r="L1628" i="1" s="1"/>
  <c r="L1629" i="1" s="1"/>
  <c r="L1630" i="1" s="1"/>
  <c r="L1631" i="1" s="1"/>
  <c r="L1632" i="1" s="1"/>
  <c r="L1633" i="1" s="1"/>
  <c r="O1616" i="1" s="1"/>
  <c r="L1637" i="1"/>
  <c r="L1638" i="1" s="1"/>
  <c r="L1639" i="1" s="1"/>
  <c r="L1640" i="1" s="1"/>
  <c r="L1641" i="1" s="1"/>
  <c r="L1642" i="1" s="1"/>
  <c r="L1643" i="1" s="1"/>
  <c r="L1644" i="1" s="1"/>
  <c r="L1645" i="1" s="1"/>
  <c r="L1646" i="1" s="1"/>
  <c r="L1647" i="1" s="1"/>
  <c r="L1648" i="1" s="1"/>
  <c r="O1635" i="1" s="1"/>
  <c r="L1650" i="1"/>
  <c r="L1651" i="1" s="1"/>
  <c r="L1652" i="1" s="1"/>
  <c r="L1653" i="1" s="1"/>
  <c r="L1654" i="1" s="1"/>
  <c r="L1655" i="1" s="1"/>
  <c r="L1656" i="1" s="1"/>
  <c r="L1657" i="1" s="1"/>
  <c r="L1658" i="1" s="1"/>
  <c r="L1659" i="1" s="1"/>
  <c r="L1660" i="1" s="1"/>
  <c r="L1661" i="1" s="1"/>
  <c r="O1650" i="1" s="1"/>
  <c r="L1793" i="1"/>
  <c r="L1794" i="1" s="1"/>
  <c r="L1795" i="1" s="1"/>
  <c r="L1796" i="1" s="1"/>
  <c r="L1797" i="1" s="1"/>
  <c r="L1798" i="1" s="1"/>
  <c r="L1799" i="1" s="1"/>
  <c r="L1800" i="1" s="1"/>
  <c r="L1801" i="1" s="1"/>
  <c r="O1791" i="1" s="1"/>
  <c r="L1805" i="1"/>
  <c r="L1806" i="1" s="1"/>
  <c r="L1807" i="1" s="1"/>
  <c r="L1808" i="1" s="1"/>
  <c r="L1809" i="1" s="1"/>
  <c r="L1810" i="1" s="1"/>
  <c r="L1811" i="1" s="1"/>
  <c r="L1812" i="1" s="1"/>
  <c r="L1813" i="1" s="1"/>
  <c r="L1814" i="1" s="1"/>
  <c r="L1815" i="1" s="1"/>
  <c r="L1816" i="1" s="1"/>
  <c r="L1817" i="1" s="1"/>
  <c r="L1818" i="1" s="1"/>
  <c r="L1819" i="1" s="1"/>
  <c r="O1803" i="1" s="1"/>
  <c r="L1823" i="1"/>
  <c r="L1824" i="1" s="1"/>
  <c r="L1825" i="1" s="1"/>
  <c r="L1826" i="1" s="1"/>
  <c r="L1827" i="1" s="1"/>
  <c r="L1828" i="1" s="1"/>
  <c r="L1829" i="1" s="1"/>
  <c r="L1830" i="1" s="1"/>
  <c r="O1821" i="1" s="1"/>
  <c r="L1832" i="1"/>
  <c r="L1833" i="1" s="1"/>
  <c r="L1834" i="1" s="1"/>
  <c r="L1835" i="1" s="1"/>
  <c r="L1836" i="1" s="1"/>
  <c r="L1837" i="1" s="1"/>
  <c r="L1838" i="1" s="1"/>
  <c r="L1839" i="1" s="1"/>
  <c r="L1840" i="1" s="1"/>
  <c r="L1841" i="1" s="1"/>
  <c r="O1832" i="1" s="1"/>
  <c r="L1904" i="1"/>
  <c r="L1905" i="1" s="1"/>
  <c r="L1906" i="1" s="1"/>
  <c r="L1907" i="1" s="1"/>
  <c r="L1908" i="1" s="1"/>
  <c r="L1909" i="1" s="1"/>
  <c r="L1910" i="1" s="1"/>
  <c r="L1911" i="1" s="1"/>
  <c r="L1912" i="1" s="1"/>
  <c r="O1904" i="1" s="1"/>
  <c r="K1904" i="1"/>
  <c r="L2031" i="1"/>
  <c r="L2032" i="1" s="1"/>
  <c r="L2033" i="1" s="1"/>
  <c r="L2034" i="1" s="1"/>
  <c r="L2035" i="1" s="1"/>
  <c r="O2032" i="1" s="1"/>
  <c r="E2031" i="1"/>
  <c r="L2095" i="1"/>
  <c r="L2096" i="1" s="1"/>
  <c r="L2097" i="1" s="1"/>
  <c r="L2098" i="1" s="1"/>
  <c r="L2099" i="1" s="1"/>
  <c r="L2100" i="1" s="1"/>
  <c r="L2101" i="1" s="1"/>
  <c r="L2102" i="1" s="1"/>
  <c r="L2103" i="1" s="1"/>
  <c r="O2091" i="1" s="1"/>
  <c r="K2189" i="1"/>
  <c r="L2189" i="1"/>
  <c r="L2190" i="1" s="1"/>
  <c r="L2191" i="1" s="1"/>
  <c r="L2192" i="1" s="1"/>
  <c r="L2193" i="1" s="1"/>
  <c r="L2194" i="1" s="1"/>
  <c r="L2195" i="1" s="1"/>
  <c r="L2196" i="1" s="1"/>
  <c r="L2197" i="1" s="1"/>
  <c r="L2198" i="1" s="1"/>
  <c r="L2199" i="1" s="1"/>
  <c r="L2200" i="1" s="1"/>
  <c r="L2201" i="1" s="1"/>
  <c r="O2189" i="1" s="1"/>
  <c r="K2381" i="1"/>
  <c r="L2381" i="1"/>
  <c r="L2382" i="1" s="1"/>
  <c r="L2383" i="1" s="1"/>
  <c r="L2384" i="1" s="1"/>
  <c r="L2385" i="1" s="1"/>
  <c r="L2386" i="1" s="1"/>
  <c r="L2387" i="1" s="1"/>
  <c r="L2388" i="1" s="1"/>
  <c r="L2389" i="1" s="1"/>
  <c r="L2390" i="1" s="1"/>
  <c r="L2391" i="1" s="1"/>
  <c r="L2392" i="1" s="1"/>
  <c r="L2393" i="1" s="1"/>
  <c r="O2381" i="1" s="1"/>
  <c r="L1274" i="1"/>
  <c r="L1275" i="1" s="1"/>
  <c r="L1276" i="1" s="1"/>
  <c r="L1277" i="1" s="1"/>
  <c r="L1278" i="1" s="1"/>
  <c r="L1279" i="1" s="1"/>
  <c r="L1280" i="1" s="1"/>
  <c r="O1278" i="1" s="1"/>
  <c r="L1358" i="1"/>
  <c r="L1359" i="1" s="1"/>
  <c r="L1360" i="1" s="1"/>
  <c r="L1361" i="1" s="1"/>
  <c r="L1362" i="1" s="1"/>
  <c r="L1363" i="1" s="1"/>
  <c r="L1364" i="1" s="1"/>
  <c r="O1361" i="1" s="1"/>
  <c r="L1516" i="1"/>
  <c r="L1517" i="1" s="1"/>
  <c r="L1518" i="1" s="1"/>
  <c r="L1519" i="1" s="1"/>
  <c r="O1516" i="1" s="1"/>
  <c r="L1534" i="1"/>
  <c r="L1535" i="1" s="1"/>
  <c r="L1536" i="1" s="1"/>
  <c r="L1537" i="1" s="1"/>
  <c r="L1538" i="1" s="1"/>
  <c r="L1539" i="1" s="1"/>
  <c r="L1540" i="1" s="1"/>
  <c r="L1541" i="1" s="1"/>
  <c r="L1542" i="1" s="1"/>
  <c r="L1543" i="1" s="1"/>
  <c r="L1544" i="1" s="1"/>
  <c r="L1545" i="1" s="1"/>
  <c r="L1546" i="1" s="1"/>
  <c r="O1534" i="1" s="1"/>
  <c r="L1562" i="1"/>
  <c r="L1563" i="1" s="1"/>
  <c r="L1564" i="1" s="1"/>
  <c r="L1565" i="1" s="1"/>
  <c r="L1566" i="1" s="1"/>
  <c r="L1567" i="1" s="1"/>
  <c r="L1568" i="1" s="1"/>
  <c r="L1569" i="1" s="1"/>
  <c r="L1570" i="1" s="1"/>
  <c r="L1571" i="1" s="1"/>
  <c r="L1572" i="1" s="1"/>
  <c r="L1573" i="1" s="1"/>
  <c r="L1574" i="1" s="1"/>
  <c r="O1562" i="1" s="1"/>
  <c r="L1590" i="1"/>
  <c r="L1591" i="1" s="1"/>
  <c r="L1592" i="1" s="1"/>
  <c r="L1593" i="1" s="1"/>
  <c r="L1594" i="1" s="1"/>
  <c r="L1595" i="1" s="1"/>
  <c r="L1596" i="1" s="1"/>
  <c r="L1597" i="1" s="1"/>
  <c r="L1598" i="1" s="1"/>
  <c r="L1599" i="1" s="1"/>
  <c r="L1600" i="1" s="1"/>
  <c r="L1601" i="1" s="1"/>
  <c r="O1590" i="1" s="1"/>
  <c r="L1848" i="1"/>
  <c r="O1848" i="1" s="1"/>
  <c r="L1850" i="1"/>
  <c r="L1851" i="1" s="1"/>
  <c r="L1852" i="1" s="1"/>
  <c r="L1853" i="1" s="1"/>
  <c r="L1854" i="1" s="1"/>
  <c r="L1855" i="1" s="1"/>
  <c r="L1856" i="1" s="1"/>
  <c r="L1857" i="1" s="1"/>
  <c r="L1858" i="1" s="1"/>
  <c r="L1859" i="1" s="1"/>
  <c r="L1860" i="1" s="1"/>
  <c r="L1861" i="1" s="1"/>
  <c r="L1862" i="1" s="1"/>
  <c r="O1850" i="1" s="1"/>
  <c r="L1890" i="1"/>
  <c r="L1891" i="1" s="1"/>
  <c r="L1892" i="1" s="1"/>
  <c r="L1893" i="1" s="1"/>
  <c r="L1894" i="1" s="1"/>
  <c r="L1895" i="1" s="1"/>
  <c r="L1896" i="1" s="1"/>
  <c r="L1897" i="1" s="1"/>
  <c r="L1898" i="1" s="1"/>
  <c r="L1899" i="1" s="1"/>
  <c r="L1900" i="1" s="1"/>
  <c r="L1901" i="1" s="1"/>
  <c r="L1902" i="1" s="1"/>
  <c r="O1890" i="1" s="1"/>
  <c r="L1950" i="1"/>
  <c r="L1951" i="1" s="1"/>
  <c r="L1952" i="1" s="1"/>
  <c r="L1953" i="1" s="1"/>
  <c r="L1954" i="1" s="1"/>
  <c r="L1955" i="1" s="1"/>
  <c r="L1956" i="1" s="1"/>
  <c r="L1957" i="1" s="1"/>
  <c r="O1950" i="1" s="1"/>
  <c r="K1950" i="1"/>
  <c r="L1976" i="1"/>
  <c r="L1977" i="1" s="1"/>
  <c r="L1978" i="1" s="1"/>
  <c r="L1979" i="1" s="1"/>
  <c r="L1980" i="1" s="1"/>
  <c r="L1981" i="1" s="1"/>
  <c r="L1982" i="1" s="1"/>
  <c r="L1983" i="1" s="1"/>
  <c r="L1984" i="1" s="1"/>
  <c r="L1985" i="1" s="1"/>
  <c r="L1986" i="1" s="1"/>
  <c r="O1976" i="1" s="1"/>
  <c r="K1976" i="1"/>
  <c r="N2062" i="1"/>
  <c r="K2062" i="1"/>
  <c r="L2087" i="1"/>
  <c r="L2088" i="1" s="1"/>
  <c r="L2089" i="1" s="1"/>
  <c r="O2085" i="1" s="1"/>
  <c r="L2143" i="1"/>
  <c r="L2144" i="1" s="1"/>
  <c r="L2145" i="1" s="1"/>
  <c r="L2146" i="1" s="1"/>
  <c r="L2147" i="1" s="1"/>
  <c r="L2148" i="1" s="1"/>
  <c r="L2149" i="1" s="1"/>
  <c r="L2150" i="1" s="1"/>
  <c r="L2151" i="1" s="1"/>
  <c r="L2152" i="1" s="1"/>
  <c r="L2153" i="1" s="1"/>
  <c r="O2141" i="1" s="1"/>
  <c r="K2203" i="1"/>
  <c r="L2203" i="1"/>
  <c r="L2204" i="1" s="1"/>
  <c r="L2205" i="1" s="1"/>
  <c r="L2206" i="1" s="1"/>
  <c r="L2207" i="1" s="1"/>
  <c r="L2208" i="1" s="1"/>
  <c r="L2209" i="1" s="1"/>
  <c r="L2210" i="1" s="1"/>
  <c r="L2211" i="1" s="1"/>
  <c r="L2212" i="1" s="1"/>
  <c r="L2213" i="1" s="1"/>
  <c r="L2214" i="1" s="1"/>
  <c r="L2215" i="1" s="1"/>
  <c r="O2203" i="1" s="1"/>
  <c r="L1250" i="1"/>
  <c r="L1251" i="1" s="1"/>
  <c r="L1252" i="1" s="1"/>
  <c r="L1253" i="1" s="1"/>
  <c r="L1254" i="1" s="1"/>
  <c r="L1255" i="1" s="1"/>
  <c r="L1256" i="1" s="1"/>
  <c r="O1254" i="1" s="1"/>
  <c r="L1258" i="1"/>
  <c r="L1259" i="1" s="1"/>
  <c r="L1260" i="1" s="1"/>
  <c r="L1261" i="1" s="1"/>
  <c r="L1262" i="1" s="1"/>
  <c r="L1263" i="1" s="1"/>
  <c r="L1264" i="1" s="1"/>
  <c r="O1262" i="1" s="1"/>
  <c r="L1940" i="1"/>
  <c r="L1941" i="1" s="1"/>
  <c r="L1942" i="1" s="1"/>
  <c r="L1943" i="1" s="1"/>
  <c r="L1944" i="1" s="1"/>
  <c r="L1945" i="1" s="1"/>
  <c r="L1946" i="1" s="1"/>
  <c r="L1947" i="1" s="1"/>
  <c r="L1948" i="1" s="1"/>
  <c r="O1940" i="1" s="1"/>
  <c r="K1940" i="1"/>
  <c r="N2063" i="1"/>
  <c r="K2063" i="1"/>
  <c r="K2159" i="1"/>
  <c r="K2257" i="1"/>
  <c r="L2257" i="1"/>
  <c r="L2258" i="1" s="1"/>
  <c r="L2259" i="1" s="1"/>
  <c r="L2260" i="1" s="1"/>
  <c r="L2261" i="1" s="1"/>
  <c r="L2262" i="1" s="1"/>
  <c r="L2263" i="1" s="1"/>
  <c r="L2264" i="1" s="1"/>
  <c r="L2265" i="1" s="1"/>
  <c r="L2266" i="1" s="1"/>
  <c r="L2267" i="1" s="1"/>
  <c r="L2268" i="1" s="1"/>
  <c r="L2269" i="1" s="1"/>
  <c r="L2270" i="1" s="1"/>
  <c r="O2257" i="1" s="1"/>
  <c r="L2524" i="1"/>
  <c r="L2525" i="1" s="1"/>
  <c r="L2526" i="1" s="1"/>
  <c r="L2527" i="1" s="1"/>
  <c r="L2528" i="1" s="1"/>
  <c r="L2529" i="1" s="1"/>
  <c r="L2530" i="1" s="1"/>
  <c r="L2531" i="1" s="1"/>
  <c r="L2532" i="1" s="1"/>
  <c r="L2533" i="1" s="1"/>
  <c r="L2534" i="1" s="1"/>
  <c r="O2522" i="1" s="1"/>
  <c r="K2550" i="1"/>
  <c r="L2550" i="1"/>
  <c r="L2551" i="1" s="1"/>
  <c r="L2552" i="1" s="1"/>
  <c r="L2553" i="1" s="1"/>
  <c r="L2554" i="1" s="1"/>
  <c r="L2555" i="1" s="1"/>
  <c r="L2556" i="1" s="1"/>
  <c r="L2557" i="1" s="1"/>
  <c r="L2558" i="1" s="1"/>
  <c r="L2559" i="1" s="1"/>
  <c r="L2560" i="1" s="1"/>
  <c r="L2561" i="1" s="1"/>
  <c r="O2550" i="1" s="1"/>
  <c r="K2909" i="1"/>
  <c r="L2909" i="1"/>
  <c r="L2910" i="1" s="1"/>
  <c r="O2909" i="1" s="1"/>
  <c r="L2272" i="1"/>
  <c r="L2273" i="1" s="1"/>
  <c r="L2274" i="1" s="1"/>
  <c r="L2275" i="1" s="1"/>
  <c r="L2276" i="1" s="1"/>
  <c r="L2277" i="1" s="1"/>
  <c r="L2278" i="1" s="1"/>
  <c r="L2279" i="1" s="1"/>
  <c r="L2280" i="1" s="1"/>
  <c r="L2281" i="1" s="1"/>
  <c r="L2282" i="1" s="1"/>
  <c r="L2283" i="1" s="1"/>
  <c r="L2284" i="1" s="1"/>
  <c r="O2272" i="1" s="1"/>
  <c r="T2272" i="1"/>
  <c r="L2343" i="1"/>
  <c r="L2344" i="1" s="1"/>
  <c r="L2345" i="1" s="1"/>
  <c r="L2346" i="1" s="1"/>
  <c r="L2347" i="1" s="1"/>
  <c r="L2348" i="1" s="1"/>
  <c r="L2349" i="1" s="1"/>
  <c r="L2350" i="1" s="1"/>
  <c r="L2351" i="1" s="1"/>
  <c r="L2352" i="1" s="1"/>
  <c r="L2353" i="1" s="1"/>
  <c r="L2354" i="1" s="1"/>
  <c r="O2343" i="1" s="1"/>
  <c r="T2343" i="1"/>
  <c r="T2537" i="1"/>
  <c r="L2634" i="1"/>
  <c r="L2635" i="1" s="1"/>
  <c r="L2636" i="1" s="1"/>
  <c r="L2637" i="1" s="1"/>
  <c r="L2638" i="1" s="1"/>
  <c r="L2639" i="1" s="1"/>
  <c r="L2640" i="1" s="1"/>
  <c r="L2641" i="1" s="1"/>
  <c r="L2642" i="1" s="1"/>
  <c r="L2643" i="1" s="1"/>
  <c r="O2634" i="1" s="1"/>
  <c r="L2793" i="1"/>
  <c r="O2787" i="1" s="1"/>
  <c r="T2945" i="1"/>
  <c r="U2945" i="1" s="1"/>
  <c r="L2945" i="1"/>
  <c r="L2946" i="1" s="1"/>
  <c r="L2947" i="1" s="1"/>
  <c r="L2948" i="1" s="1"/>
  <c r="L2949" i="1" s="1"/>
  <c r="L2950" i="1" s="1"/>
  <c r="L2951" i="1" s="1"/>
  <c r="L2952" i="1" s="1"/>
  <c r="L2953" i="1" s="1"/>
  <c r="L2954" i="1" s="1"/>
  <c r="L2955" i="1" s="1"/>
  <c r="L2956" i="1" s="1"/>
  <c r="O2945" i="1" s="1"/>
  <c r="T2416" i="1"/>
  <c r="U2962" i="1"/>
  <c r="U2965" i="1" s="1"/>
  <c r="U2961" i="1"/>
  <c r="U2964" i="1" s="1"/>
  <c r="T2973" i="1"/>
  <c r="U2973" i="1" s="1"/>
  <c r="L2973" i="1"/>
  <c r="L2974" i="1" s="1"/>
  <c r="L2975" i="1" s="1"/>
  <c r="L2976" i="1" s="1"/>
  <c r="L2977" i="1" s="1"/>
  <c r="L2978" i="1" s="1"/>
  <c r="L2979" i="1" s="1"/>
  <c r="L2980" i="1" s="1"/>
  <c r="L2981" i="1" s="1"/>
  <c r="L2982" i="1" s="1"/>
  <c r="L2983" i="1" s="1"/>
  <c r="L2984" i="1" s="1"/>
  <c r="O2973" i="1" s="1"/>
  <c r="T2144" i="1"/>
  <c r="T2212" i="1"/>
  <c r="T2211" i="1"/>
  <c r="L2231" i="1"/>
  <c r="L2232" i="1" s="1"/>
  <c r="L2233" i="1" s="1"/>
  <c r="L2234" i="1" s="1"/>
  <c r="L2235" i="1" s="1"/>
  <c r="L2236" i="1" s="1"/>
  <c r="L2237" i="1" s="1"/>
  <c r="L2238" i="1" s="1"/>
  <c r="L2239" i="1" s="1"/>
  <c r="L2240" i="1" s="1"/>
  <c r="L2241" i="1" s="1"/>
  <c r="L2242" i="1" s="1"/>
  <c r="L2243" i="1" s="1"/>
  <c r="O2231" i="1" s="1"/>
  <c r="L2245" i="1"/>
  <c r="L2246" i="1" s="1"/>
  <c r="L2247" i="1" s="1"/>
  <c r="L2248" i="1" s="1"/>
  <c r="L2249" i="1" s="1"/>
  <c r="O2245" i="1" s="1"/>
  <c r="L2400" i="1"/>
  <c r="L2401" i="1" s="1"/>
  <c r="L2402" i="1" s="1"/>
  <c r="L2403" i="1" s="1"/>
  <c r="L2404" i="1" s="1"/>
  <c r="L2405" i="1" s="1"/>
  <c r="L2406" i="1" s="1"/>
  <c r="L2407" i="1" s="1"/>
  <c r="L2408" i="1" s="1"/>
  <c r="L2409" i="1" s="1"/>
  <c r="L2410" i="1" s="1"/>
  <c r="L2411" i="1" s="1"/>
  <c r="L2412" i="1" s="1"/>
  <c r="O2400" i="1" s="1"/>
  <c r="L2414" i="1"/>
  <c r="L2415" i="1" s="1"/>
  <c r="L2416" i="1" s="1"/>
  <c r="L2417" i="1" s="1"/>
  <c r="L2418" i="1" s="1"/>
  <c r="L2419" i="1" s="1"/>
  <c r="L2420" i="1" s="1"/>
  <c r="L2421" i="1" s="1"/>
  <c r="L2422" i="1" s="1"/>
  <c r="L2423" i="1" s="1"/>
  <c r="L2424" i="1" s="1"/>
  <c r="L2425" i="1" s="1"/>
  <c r="O2414" i="1" s="1"/>
  <c r="L2598" i="1"/>
  <c r="L2599" i="1" s="1"/>
  <c r="L2600" i="1" s="1"/>
  <c r="L2601" i="1" s="1"/>
  <c r="L2602" i="1" s="1"/>
  <c r="L2603" i="1" s="1"/>
  <c r="L2604" i="1" s="1"/>
  <c r="L2605" i="1" s="1"/>
  <c r="L2606" i="1" s="1"/>
  <c r="O2598" i="1" s="1"/>
  <c r="K2814" i="1"/>
  <c r="L2814" i="1"/>
  <c r="L2815" i="1" s="1"/>
  <c r="L2816" i="1" s="1"/>
  <c r="L2817" i="1" s="1"/>
  <c r="L2818" i="1" s="1"/>
  <c r="L2819" i="1" s="1"/>
  <c r="O2814" i="1" s="1"/>
  <c r="L2841" i="1"/>
  <c r="L2842" i="1" s="1"/>
  <c r="L2843" i="1" s="1"/>
  <c r="L2844" i="1" s="1"/>
  <c r="L2845" i="1" s="1"/>
  <c r="O2839" i="1" s="1"/>
  <c r="L3002" i="1"/>
  <c r="L3003" i="1" s="1"/>
  <c r="L3004" i="1" s="1"/>
  <c r="L3005" i="1" s="1"/>
  <c r="L3006" i="1" s="1"/>
  <c r="L3007" i="1" s="1"/>
  <c r="L3008" i="1" s="1"/>
  <c r="L3009" i="1" s="1"/>
  <c r="L3010" i="1" s="1"/>
  <c r="L3011" i="1" s="1"/>
  <c r="L3012" i="1" s="1"/>
  <c r="L3013" i="1" s="1"/>
  <c r="O3002" i="1" s="1"/>
  <c r="T3002" i="1"/>
  <c r="U3002" i="1" s="1"/>
  <c r="L3071" i="1"/>
  <c r="L3072" i="1" s="1"/>
  <c r="L3073" i="1" s="1"/>
  <c r="L3074" i="1" s="1"/>
  <c r="L3075" i="1" s="1"/>
  <c r="L3076" i="1" s="1"/>
  <c r="L3077" i="1" s="1"/>
  <c r="L3078" i="1" s="1"/>
  <c r="L3079" i="1" s="1"/>
  <c r="L3080" i="1" s="1"/>
  <c r="L3081" i="1" s="1"/>
  <c r="L3082" i="1" s="1"/>
  <c r="L3083" i="1" s="1"/>
  <c r="L3084" i="1" s="1"/>
  <c r="L3085" i="1" s="1"/>
  <c r="L3086" i="1" s="1"/>
  <c r="L3087" i="1" s="1"/>
  <c r="O3071" i="1" s="1"/>
  <c r="K3071" i="1"/>
  <c r="U3313" i="1"/>
  <c r="U3312" i="1"/>
  <c r="U3561" i="1"/>
  <c r="U3562" i="1"/>
  <c r="U3638" i="1"/>
  <c r="U3637" i="1"/>
  <c r="T2218" i="1"/>
  <c r="T2588" i="1"/>
  <c r="G4669" i="1"/>
  <c r="G4671" i="1" s="1"/>
  <c r="N2976" i="1"/>
  <c r="K2976" i="1"/>
  <c r="K3005" i="1"/>
  <c r="N3005" i="1"/>
  <c r="N3019" i="1"/>
  <c r="K3019" i="1"/>
  <c r="L3105" i="1"/>
  <c r="L3106" i="1" s="1"/>
  <c r="L3107" i="1" s="1"/>
  <c r="L3108" i="1" s="1"/>
  <c r="L3109" i="1" s="1"/>
  <c r="L3110" i="1" s="1"/>
  <c r="L3111" i="1" s="1"/>
  <c r="L3112" i="1" s="1"/>
  <c r="L3113" i="1" s="1"/>
  <c r="L3114" i="1" s="1"/>
  <c r="L3115" i="1" s="1"/>
  <c r="O3104" i="1" s="1"/>
  <c r="L3174" i="1"/>
  <c r="L3175" i="1" s="1"/>
  <c r="L3176" i="1" s="1"/>
  <c r="L3177" i="1" s="1"/>
  <c r="L3178" i="1" s="1"/>
  <c r="L3179" i="1" s="1"/>
  <c r="L3180" i="1" s="1"/>
  <c r="L3181" i="1" s="1"/>
  <c r="L3182" i="1" s="1"/>
  <c r="L3183" i="1" s="1"/>
  <c r="L3184" i="1" s="1"/>
  <c r="O3173" i="1" s="1"/>
  <c r="L3217" i="1"/>
  <c r="L3218" i="1" s="1"/>
  <c r="L3219" i="1" s="1"/>
  <c r="L3220" i="1" s="1"/>
  <c r="L3221" i="1" s="1"/>
  <c r="L3222" i="1" s="1"/>
  <c r="L3223" i="1" s="1"/>
  <c r="L3224" i="1" s="1"/>
  <c r="L3225" i="1" s="1"/>
  <c r="L3226" i="1" s="1"/>
  <c r="L3227" i="1" s="1"/>
  <c r="L3228" i="1" s="1"/>
  <c r="O3217" i="1" s="1"/>
  <c r="T3217" i="1"/>
  <c r="U3217" i="1" s="1"/>
  <c r="U3233" i="1"/>
  <c r="L3259" i="1"/>
  <c r="L3260" i="1" s="1"/>
  <c r="L3261" i="1" s="1"/>
  <c r="L3262" i="1" s="1"/>
  <c r="L3263" i="1" s="1"/>
  <c r="L3264" i="1" s="1"/>
  <c r="L3265" i="1" s="1"/>
  <c r="L3266" i="1" s="1"/>
  <c r="L3267" i="1" s="1"/>
  <c r="L3268" i="1" s="1"/>
  <c r="L3269" i="1" s="1"/>
  <c r="L3270" i="1" s="1"/>
  <c r="O3259" i="1" s="1"/>
  <c r="T3259" i="1"/>
  <c r="U3259" i="1" s="1"/>
  <c r="U3286" i="1"/>
  <c r="U3285" i="1"/>
  <c r="T3297" i="1"/>
  <c r="U3297" i="1" s="1"/>
  <c r="L3409" i="1"/>
  <c r="L3410" i="1" s="1"/>
  <c r="L3411" i="1" s="1"/>
  <c r="L3412" i="1" s="1"/>
  <c r="L3413" i="1" s="1"/>
  <c r="L3414" i="1" s="1"/>
  <c r="L3415" i="1" s="1"/>
  <c r="O3404" i="1" s="1"/>
  <c r="N2752" i="1"/>
  <c r="K2752" i="1"/>
  <c r="U3107" i="1"/>
  <c r="U3106" i="1"/>
  <c r="L3160" i="1"/>
  <c r="L3161" i="1" s="1"/>
  <c r="L3162" i="1" s="1"/>
  <c r="L3163" i="1" s="1"/>
  <c r="L3164" i="1" s="1"/>
  <c r="L3165" i="1" s="1"/>
  <c r="L3166" i="1" s="1"/>
  <c r="L3167" i="1" s="1"/>
  <c r="L3168" i="1" s="1"/>
  <c r="L3169" i="1" s="1"/>
  <c r="L3170" i="1" s="1"/>
  <c r="O3159" i="1" s="1"/>
  <c r="U3176" i="1"/>
  <c r="U3175" i="1"/>
  <c r="L3203" i="1"/>
  <c r="L3204" i="1" s="1"/>
  <c r="L3205" i="1" s="1"/>
  <c r="L3206" i="1" s="1"/>
  <c r="L3207" i="1" s="1"/>
  <c r="L3208" i="1" s="1"/>
  <c r="L3209" i="1" s="1"/>
  <c r="L3210" i="1" s="1"/>
  <c r="L3211" i="1" s="1"/>
  <c r="L3212" i="1" s="1"/>
  <c r="L3213" i="1" s="1"/>
  <c r="L3214" i="1" s="1"/>
  <c r="O3203" i="1" s="1"/>
  <c r="K3203" i="1"/>
  <c r="U3248" i="1"/>
  <c r="U3247" i="1"/>
  <c r="T3324" i="1"/>
  <c r="U3324" i="1" s="1"/>
  <c r="L3395" i="1"/>
  <c r="L3396" i="1" s="1"/>
  <c r="L3397" i="1" s="1"/>
  <c r="L3398" i="1" s="1"/>
  <c r="L3399" i="1" s="1"/>
  <c r="L3400" i="1" s="1"/>
  <c r="L3401" i="1" s="1"/>
  <c r="O3390" i="1" s="1"/>
  <c r="L2712" i="1"/>
  <c r="L2713" i="1" s="1"/>
  <c r="L2714" i="1" s="1"/>
  <c r="L2715" i="1" s="1"/>
  <c r="L2716" i="1" s="1"/>
  <c r="L2717" i="1" s="1"/>
  <c r="L2718" i="1" s="1"/>
  <c r="L2719" i="1" s="1"/>
  <c r="L2720" i="1" s="1"/>
  <c r="O2712" i="1" s="1"/>
  <c r="L2764" i="1"/>
  <c r="L2765" i="1" s="1"/>
  <c r="L2766" i="1" s="1"/>
  <c r="L2767" i="1" s="1"/>
  <c r="L2768" i="1" s="1"/>
  <c r="O2763" i="1" s="1"/>
  <c r="L2795" i="1"/>
  <c r="L2796" i="1" s="1"/>
  <c r="L2797" i="1" s="1"/>
  <c r="L2798" i="1" s="1"/>
  <c r="L2799" i="1" s="1"/>
  <c r="L2800" i="1" s="1"/>
  <c r="O2795" i="1" s="1"/>
  <c r="T2799" i="1"/>
  <c r="T2800" i="1" s="1"/>
  <c r="T2859" i="1"/>
  <c r="T2860" i="1" s="1"/>
  <c r="L2859" i="1"/>
  <c r="L2860" i="1" s="1"/>
  <c r="L2861" i="1" s="1"/>
  <c r="L2862" i="1" s="1"/>
  <c r="O2859" i="1" s="1"/>
  <c r="T2865" i="1"/>
  <c r="T2864" i="1"/>
  <c r="L2878" i="1"/>
  <c r="L2879" i="1" s="1"/>
  <c r="L2880" i="1" s="1"/>
  <c r="O2878" i="1" s="1"/>
  <c r="L2882" i="1"/>
  <c r="L2883" i="1" s="1"/>
  <c r="L2884" i="1" s="1"/>
  <c r="L2885" i="1" s="1"/>
  <c r="O2882" i="1" s="1"/>
  <c r="L2918" i="1"/>
  <c r="L2919" i="1" s="1"/>
  <c r="O2918" i="1" s="1"/>
  <c r="N2948" i="1"/>
  <c r="K2948" i="1"/>
  <c r="U3064" i="1"/>
  <c r="U3090" i="1"/>
  <c r="N3093" i="1"/>
  <c r="K3093" i="1"/>
  <c r="L3119" i="1"/>
  <c r="L3120" i="1" s="1"/>
  <c r="L3121" i="1" s="1"/>
  <c r="L3122" i="1" s="1"/>
  <c r="L3123" i="1" s="1"/>
  <c r="L3124" i="1" s="1"/>
  <c r="L3125" i="1" s="1"/>
  <c r="L3126" i="1" s="1"/>
  <c r="L3127" i="1" s="1"/>
  <c r="L3128" i="1" s="1"/>
  <c r="L3129" i="1" s="1"/>
  <c r="L3130" i="1" s="1"/>
  <c r="L3131" i="1" s="1"/>
  <c r="L3132" i="1" s="1"/>
  <c r="L3133" i="1" s="1"/>
  <c r="O3119" i="1" s="1"/>
  <c r="T3119" i="1"/>
  <c r="U3119" i="1" s="1"/>
  <c r="U3162" i="1"/>
  <c r="U3161" i="1"/>
  <c r="L3188" i="1"/>
  <c r="L3189" i="1" s="1"/>
  <c r="L3191" i="1" s="1"/>
  <c r="L3192" i="1" s="1"/>
  <c r="L3193" i="1" s="1"/>
  <c r="L3194" i="1" s="1"/>
  <c r="L3195" i="1" s="1"/>
  <c r="L3196" i="1" s="1"/>
  <c r="L3197" i="1" s="1"/>
  <c r="L3198" i="1" s="1"/>
  <c r="L3199" i="1" s="1"/>
  <c r="L3200" i="1" s="1"/>
  <c r="O3188" i="1" s="1"/>
  <c r="T3188" i="1"/>
  <c r="U3188" i="1" s="1"/>
  <c r="L3231" i="1"/>
  <c r="L3232" i="1" s="1"/>
  <c r="L3233" i="1" s="1"/>
  <c r="L3234" i="1" s="1"/>
  <c r="L3235" i="1" s="1"/>
  <c r="L3236" i="1" s="1"/>
  <c r="L3237" i="1" s="1"/>
  <c r="L3238" i="1" s="1"/>
  <c r="L3239" i="1" s="1"/>
  <c r="L3240" i="1" s="1"/>
  <c r="L3241" i="1" s="1"/>
  <c r="L3242" i="1" s="1"/>
  <c r="O3231" i="1" s="1"/>
  <c r="K3231" i="1"/>
  <c r="L3274" i="1"/>
  <c r="L3275" i="1" s="1"/>
  <c r="L3276" i="1" s="1"/>
  <c r="L3277" i="1" s="1"/>
  <c r="L3278" i="1" s="1"/>
  <c r="L3279" i="1" s="1"/>
  <c r="L3280" i="1" s="1"/>
  <c r="L3281" i="1" s="1"/>
  <c r="O3274" i="1" s="1"/>
  <c r="K3274" i="1"/>
  <c r="L3354" i="1"/>
  <c r="L3355" i="1" s="1"/>
  <c r="L3356" i="1" s="1"/>
  <c r="L3357" i="1" s="1"/>
  <c r="L3358" i="1" s="1"/>
  <c r="L3359" i="1" s="1"/>
  <c r="L3360" i="1" s="1"/>
  <c r="L3361" i="1" s="1"/>
  <c r="O3350" i="1" s="1"/>
  <c r="L3090" i="1"/>
  <c r="L3091" i="1" s="1"/>
  <c r="L3092" i="1" s="1"/>
  <c r="L3093" i="1" s="1"/>
  <c r="L3094" i="1" s="1"/>
  <c r="L3095" i="1" s="1"/>
  <c r="L3096" i="1" s="1"/>
  <c r="L3097" i="1" s="1"/>
  <c r="L3098" i="1" s="1"/>
  <c r="L3099" i="1" s="1"/>
  <c r="L3100" i="1" s="1"/>
  <c r="L3101" i="1" s="1"/>
  <c r="O3090" i="1" s="1"/>
  <c r="N3122" i="1"/>
  <c r="N3220" i="1"/>
  <c r="L3245" i="1"/>
  <c r="L3246" i="1" s="1"/>
  <c r="L3247" i="1" s="1"/>
  <c r="L3248" i="1" s="1"/>
  <c r="L3249" i="1" s="1"/>
  <c r="L3250" i="1" s="1"/>
  <c r="L3251" i="1" s="1"/>
  <c r="L3252" i="1" s="1"/>
  <c r="L3253" i="1" s="1"/>
  <c r="L3254" i="1" s="1"/>
  <c r="L3255" i="1" s="1"/>
  <c r="L3256" i="1" s="1"/>
  <c r="O3245" i="1" s="1"/>
  <c r="N3262" i="1"/>
  <c r="N3277" i="1"/>
  <c r="N3285" i="1"/>
  <c r="L3310" i="1"/>
  <c r="L3311" i="1" s="1"/>
  <c r="L3312" i="1" s="1"/>
  <c r="L3313" i="1" s="1"/>
  <c r="L3314" i="1" s="1"/>
  <c r="L3315" i="1" s="1"/>
  <c r="L3316" i="1" s="1"/>
  <c r="L3317" i="1" s="1"/>
  <c r="L3318" i="1" s="1"/>
  <c r="L3319" i="1" s="1"/>
  <c r="L3320" i="1" s="1"/>
  <c r="O3309" i="1" s="1"/>
  <c r="N3312" i="1"/>
  <c r="U3394" i="1"/>
  <c r="U3393" i="1"/>
  <c r="U3408" i="1"/>
  <c r="U3407" i="1"/>
  <c r="T3427" i="1"/>
  <c r="U3427" i="1" s="1"/>
  <c r="N3444" i="1"/>
  <c r="K3444" i="1"/>
  <c r="L3449" i="1"/>
  <c r="L3450" i="1" s="1"/>
  <c r="L3451" i="1" s="1"/>
  <c r="L3452" i="1" s="1"/>
  <c r="L3453" i="1" s="1"/>
  <c r="L3454" i="1" s="1"/>
  <c r="L3455" i="1" s="1"/>
  <c r="L3456" i="1" s="1"/>
  <c r="L3457" i="1" s="1"/>
  <c r="L3458" i="1" s="1"/>
  <c r="O3447" i="1" s="1"/>
  <c r="U3451" i="1"/>
  <c r="U3450" i="1"/>
  <c r="U3521" i="1"/>
  <c r="U3522" i="1"/>
  <c r="U3574" i="1"/>
  <c r="U3575" i="1"/>
  <c r="U3651" i="1"/>
  <c r="U3652" i="1"/>
  <c r="K3429" i="1"/>
  <c r="N3429" i="1"/>
  <c r="U3588" i="1"/>
  <c r="U3589" i="1"/>
  <c r="U3665" i="1"/>
  <c r="U3664" i="1"/>
  <c r="T2764" i="1"/>
  <c r="T2831" i="1"/>
  <c r="U3340" i="1"/>
  <c r="U3339" i="1"/>
  <c r="U3354" i="1"/>
  <c r="U3353" i="1"/>
  <c r="U3368" i="1"/>
  <c r="U3367" i="1"/>
  <c r="U3601" i="1"/>
  <c r="U3602" i="1"/>
  <c r="U3478" i="1"/>
  <c r="K3521" i="1"/>
  <c r="U3535" i="1"/>
  <c r="K3623" i="1"/>
  <c r="N3623" i="1"/>
  <c r="L3649" i="1"/>
  <c r="L3650" i="1" s="1"/>
  <c r="L3651" i="1" s="1"/>
  <c r="L3652" i="1" s="1"/>
  <c r="L3653" i="1" s="1"/>
  <c r="L3654" i="1" s="1"/>
  <c r="L3655" i="1" s="1"/>
  <c r="L3656" i="1" s="1"/>
  <c r="L3657" i="1" s="1"/>
  <c r="L3658" i="1" s="1"/>
  <c r="L3659" i="1" s="1"/>
  <c r="O3648" i="1" s="1"/>
  <c r="K3651" i="1"/>
  <c r="N3651" i="1"/>
  <c r="L3675" i="1"/>
  <c r="L3676" i="1" s="1"/>
  <c r="L3677" i="1" s="1"/>
  <c r="O3674" i="1" s="1"/>
  <c r="N3776" i="1"/>
  <c r="K3776" i="1"/>
  <c r="T3792" i="1"/>
  <c r="U3792" i="1" s="1"/>
  <c r="U3794" i="1" s="1"/>
  <c r="L3792" i="1"/>
  <c r="L3793" i="1" s="1"/>
  <c r="L3794" i="1" s="1"/>
  <c r="L3795" i="1" s="1"/>
  <c r="L3796" i="1" s="1"/>
  <c r="L3797" i="1" s="1"/>
  <c r="L3798" i="1" s="1"/>
  <c r="L3799" i="1" s="1"/>
  <c r="L3800" i="1" s="1"/>
  <c r="L3801" i="1" s="1"/>
  <c r="L3802" i="1" s="1"/>
  <c r="O3791" i="1" s="1"/>
  <c r="N3877" i="1"/>
  <c r="K3877" i="1"/>
  <c r="N3940" i="1"/>
  <c r="K3940" i="1"/>
  <c r="U3954" i="1"/>
  <c r="U3955" i="1"/>
  <c r="N3954" i="1"/>
  <c r="K3954" i="1"/>
  <c r="L3489" i="1"/>
  <c r="L3490" i="1" s="1"/>
  <c r="L3491" i="1" s="1"/>
  <c r="L3492" i="1" s="1"/>
  <c r="L3493" i="1" s="1"/>
  <c r="L3494" i="1" s="1"/>
  <c r="L3495" i="1" s="1"/>
  <c r="L3496" i="1" s="1"/>
  <c r="L3497" i="1" s="1"/>
  <c r="L3498" i="1" s="1"/>
  <c r="L3499" i="1" s="1"/>
  <c r="O3488" i="1" s="1"/>
  <c r="K3505" i="1"/>
  <c r="L3545" i="1"/>
  <c r="L3546" i="1" s="1"/>
  <c r="L3547" i="1" s="1"/>
  <c r="L3548" i="1" s="1"/>
  <c r="L3549" i="1" s="1"/>
  <c r="L3550" i="1" s="1"/>
  <c r="L3551" i="1" s="1"/>
  <c r="L3552" i="1" s="1"/>
  <c r="L3553" i="1" s="1"/>
  <c r="L3554" i="1" s="1"/>
  <c r="L3555" i="1" s="1"/>
  <c r="L3556" i="1" s="1"/>
  <c r="O3544" i="1" s="1"/>
  <c r="U3682" i="1"/>
  <c r="U3681" i="1"/>
  <c r="U3708" i="1"/>
  <c r="U3707" i="1"/>
  <c r="U3775" i="1"/>
  <c r="U3776" i="1"/>
  <c r="L3789" i="1"/>
  <c r="U3821" i="1"/>
  <c r="U3850" i="1"/>
  <c r="U3849" i="1"/>
  <c r="L3875" i="1"/>
  <c r="L3876" i="1" s="1"/>
  <c r="L3877" i="1" s="1"/>
  <c r="L3878" i="1" s="1"/>
  <c r="L3879" i="1" s="1"/>
  <c r="L3880" i="1" s="1"/>
  <c r="L3881" i="1" s="1"/>
  <c r="L3882" i="1" s="1"/>
  <c r="L3883" i="1" s="1"/>
  <c r="L3884" i="1" s="1"/>
  <c r="L3885" i="1" s="1"/>
  <c r="O3874" i="1" s="1"/>
  <c r="L3889" i="1"/>
  <c r="L3890" i="1" s="1"/>
  <c r="L3891" i="1" s="1"/>
  <c r="L3892" i="1" s="1"/>
  <c r="L3893" i="1" s="1"/>
  <c r="L3894" i="1" s="1"/>
  <c r="L3895" i="1" s="1"/>
  <c r="L3896" i="1" s="1"/>
  <c r="L3897" i="1" s="1"/>
  <c r="L3898" i="1" s="1"/>
  <c r="O3886" i="1" s="1"/>
  <c r="T3927" i="1"/>
  <c r="U3927" i="1" s="1"/>
  <c r="U3941" i="1"/>
  <c r="U3942" i="1"/>
  <c r="L4023" i="1"/>
  <c r="L4024" i="1" s="1"/>
  <c r="L4025" i="1" s="1"/>
  <c r="L4026" i="1" s="1"/>
  <c r="L4027" i="1" s="1"/>
  <c r="L4028" i="1" s="1"/>
  <c r="L4029" i="1" s="1"/>
  <c r="L4030" i="1" s="1"/>
  <c r="L4031" i="1" s="1"/>
  <c r="O4021" i="1" s="1"/>
  <c r="T4022" i="1"/>
  <c r="U4022" i="1" s="1"/>
  <c r="U3380" i="1"/>
  <c r="U3465" i="1"/>
  <c r="U3469" i="1" s="1"/>
  <c r="U3464" i="1"/>
  <c r="U3468" i="1" s="1"/>
  <c r="L3475" i="1"/>
  <c r="L3476" i="1" s="1"/>
  <c r="L3477" i="1" s="1"/>
  <c r="L3478" i="1" s="1"/>
  <c r="L3479" i="1" s="1"/>
  <c r="L3480" i="1" s="1"/>
  <c r="L3481" i="1" s="1"/>
  <c r="L3482" i="1" s="1"/>
  <c r="L3483" i="1" s="1"/>
  <c r="L3484" i="1" s="1"/>
  <c r="L3485" i="1" s="1"/>
  <c r="O3474" i="1" s="1"/>
  <c r="V3506" i="1"/>
  <c r="L3532" i="1"/>
  <c r="L3533" i="1" s="1"/>
  <c r="L3534" i="1" s="1"/>
  <c r="L3535" i="1" s="1"/>
  <c r="L3536" i="1" s="1"/>
  <c r="L3537" i="1" s="1"/>
  <c r="L3538" i="1" s="1"/>
  <c r="L3539" i="1" s="1"/>
  <c r="L3540" i="1" s="1"/>
  <c r="L3541" i="1" s="1"/>
  <c r="L3542" i="1" s="1"/>
  <c r="O3531" i="1" s="1"/>
  <c r="L3559" i="1"/>
  <c r="L3560" i="1" s="1"/>
  <c r="L3561" i="1" s="1"/>
  <c r="L3562" i="1" s="1"/>
  <c r="L3563" i="1" s="1"/>
  <c r="L3564" i="1" s="1"/>
  <c r="L3565" i="1" s="1"/>
  <c r="L3566" i="1" s="1"/>
  <c r="L3567" i="1" s="1"/>
  <c r="L3568" i="1" s="1"/>
  <c r="L3569" i="1" s="1"/>
  <c r="O3558" i="1" s="1"/>
  <c r="L3572" i="1"/>
  <c r="L3573" i="1" s="1"/>
  <c r="L3574" i="1" s="1"/>
  <c r="L3575" i="1" s="1"/>
  <c r="L3576" i="1" s="1"/>
  <c r="L3577" i="1" s="1"/>
  <c r="L3578" i="1" s="1"/>
  <c r="L3579" i="1" s="1"/>
  <c r="L3580" i="1" s="1"/>
  <c r="L3581" i="1" s="1"/>
  <c r="L3582" i="1" s="1"/>
  <c r="O3571" i="1" s="1"/>
  <c r="L3586" i="1"/>
  <c r="L3587" i="1" s="1"/>
  <c r="L3588" i="1" s="1"/>
  <c r="L3589" i="1" s="1"/>
  <c r="L3590" i="1" s="1"/>
  <c r="L3591" i="1" s="1"/>
  <c r="L3592" i="1" s="1"/>
  <c r="L3593" i="1" s="1"/>
  <c r="L3594" i="1" s="1"/>
  <c r="L3595" i="1" s="1"/>
  <c r="L3596" i="1" s="1"/>
  <c r="O3585" i="1" s="1"/>
  <c r="L3599" i="1"/>
  <c r="L3600" i="1" s="1"/>
  <c r="L3601" i="1" s="1"/>
  <c r="L3602" i="1" s="1"/>
  <c r="L3603" i="1" s="1"/>
  <c r="L3604" i="1" s="1"/>
  <c r="L3605" i="1" s="1"/>
  <c r="L3606" i="1" s="1"/>
  <c r="L3607" i="1" s="1"/>
  <c r="L3608" i="1" s="1"/>
  <c r="L3609" i="1" s="1"/>
  <c r="L3610" i="1" s="1"/>
  <c r="O3598" i="1" s="1"/>
  <c r="L3635" i="1"/>
  <c r="L3636" i="1" s="1"/>
  <c r="L3637" i="1" s="1"/>
  <c r="L3638" i="1" s="1"/>
  <c r="L3639" i="1" s="1"/>
  <c r="L3640" i="1" s="1"/>
  <c r="L3641" i="1" s="1"/>
  <c r="L3642" i="1" s="1"/>
  <c r="L3643" i="1" s="1"/>
  <c r="L3644" i="1" s="1"/>
  <c r="L3645" i="1" s="1"/>
  <c r="O3634" i="1" s="1"/>
  <c r="K3637" i="1"/>
  <c r="N3637" i="1"/>
  <c r="L3662" i="1"/>
  <c r="L3663" i="1" s="1"/>
  <c r="L3664" i="1" s="1"/>
  <c r="L3665" i="1" s="1"/>
  <c r="L3666" i="1" s="1"/>
  <c r="L3667" i="1" s="1"/>
  <c r="L3668" i="1" s="1"/>
  <c r="L3669" i="1" s="1"/>
  <c r="L3670" i="1" s="1"/>
  <c r="L3671" i="1" s="1"/>
  <c r="L3672" i="1" s="1"/>
  <c r="O3661" i="1" s="1"/>
  <c r="K3664" i="1"/>
  <c r="N3664" i="1"/>
  <c r="U3749" i="1"/>
  <c r="U3748" i="1"/>
  <c r="N3789" i="1"/>
  <c r="K3789" i="1"/>
  <c r="U3916" i="1"/>
  <c r="U3915" i="1"/>
  <c r="N3977" i="1"/>
  <c r="K3977" i="1"/>
  <c r="U4014" i="1"/>
  <c r="U4013" i="1"/>
  <c r="U4044" i="1"/>
  <c r="U4043" i="1"/>
  <c r="T4090" i="1"/>
  <c r="U4090" i="1" s="1"/>
  <c r="L4090" i="1"/>
  <c r="L4091" i="1" s="1"/>
  <c r="L4092" i="1" s="1"/>
  <c r="L4093" i="1" s="1"/>
  <c r="L4094" i="1" s="1"/>
  <c r="L4095" i="1" s="1"/>
  <c r="L4096" i="1" s="1"/>
  <c r="L4097" i="1" s="1"/>
  <c r="O4089" i="1" s="1"/>
  <c r="K3616" i="1"/>
  <c r="N3616" i="1"/>
  <c r="U3695" i="1"/>
  <c r="U3694" i="1"/>
  <c r="U3722" i="1"/>
  <c r="U3721" i="1"/>
  <c r="K3808" i="1"/>
  <c r="N3808" i="1"/>
  <c r="U3889" i="1"/>
  <c r="U3890" i="1"/>
  <c r="U3979" i="1"/>
  <c r="U4003" i="1"/>
  <c r="U4002" i="1"/>
  <c r="U4054" i="1"/>
  <c r="U4053" i="1"/>
  <c r="L3759" i="1"/>
  <c r="L3760" i="1" s="1"/>
  <c r="L3761" i="1" s="1"/>
  <c r="L3762" i="1" s="1"/>
  <c r="L3763" i="1" s="1"/>
  <c r="L3764" i="1" s="1"/>
  <c r="L3765" i="1" s="1"/>
  <c r="L3766" i="1" s="1"/>
  <c r="L3767" i="1" s="1"/>
  <c r="L3768" i="1" s="1"/>
  <c r="L3769" i="1" s="1"/>
  <c r="O3758" i="1" s="1"/>
  <c r="L3772" i="1"/>
  <c r="L3774" i="1" s="1"/>
  <c r="L3775" i="1" s="1"/>
  <c r="L3776" i="1" s="1"/>
  <c r="L3777" i="1" s="1"/>
  <c r="L3778" i="1" s="1"/>
  <c r="L3779" i="1" s="1"/>
  <c r="L3780" i="1" s="1"/>
  <c r="L3781" i="1" s="1"/>
  <c r="L3782" i="1" s="1"/>
  <c r="L3783" i="1" s="1"/>
  <c r="L3784" i="1" s="1"/>
  <c r="O3771" i="1" s="1"/>
  <c r="L3819" i="1"/>
  <c r="L3820" i="1" s="1"/>
  <c r="L3821" i="1" s="1"/>
  <c r="L3822" i="1" s="1"/>
  <c r="L3823" i="1" s="1"/>
  <c r="L3824" i="1" s="1"/>
  <c r="L3825" i="1" s="1"/>
  <c r="L3826" i="1" s="1"/>
  <c r="L3827" i="1" s="1"/>
  <c r="L3828" i="1" s="1"/>
  <c r="L3829" i="1" s="1"/>
  <c r="L3830" i="1" s="1"/>
  <c r="L3831" i="1" s="1"/>
  <c r="L3832" i="1" s="1"/>
  <c r="O3818" i="1" s="1"/>
  <c r="U3862" i="1"/>
  <c r="L3913" i="1"/>
  <c r="L3914" i="1" s="1"/>
  <c r="L3915" i="1" s="1"/>
  <c r="L3916" i="1" s="1"/>
  <c r="L3917" i="1" s="1"/>
  <c r="L3918" i="1" s="1"/>
  <c r="L3919" i="1" s="1"/>
  <c r="L3920" i="1" s="1"/>
  <c r="L3921" i="1" s="1"/>
  <c r="L3922" i="1" s="1"/>
  <c r="L3923" i="1" s="1"/>
  <c r="O3912" i="1" s="1"/>
  <c r="N3915" i="1"/>
  <c r="L3954" i="1"/>
  <c r="L3955" i="1" s="1"/>
  <c r="L3956" i="1" s="1"/>
  <c r="L3957" i="1" s="1"/>
  <c r="L3958" i="1" s="1"/>
  <c r="L3959" i="1" s="1"/>
  <c r="L3960" i="1" s="1"/>
  <c r="L3961" i="1" s="1"/>
  <c r="L3962" i="1" s="1"/>
  <c r="O3951" i="1" s="1"/>
  <c r="L4038" i="1"/>
  <c r="L4039" i="1" s="1"/>
  <c r="O4037" i="1" s="1"/>
  <c r="U4103" i="1"/>
  <c r="U4132" i="1"/>
  <c r="U4135" i="1" s="1"/>
  <c r="U4131" i="1"/>
  <c r="U4134" i="1" s="1"/>
  <c r="T4157" i="1"/>
  <c r="U4157" i="1" s="1"/>
  <c r="L4157" i="1"/>
  <c r="L4158" i="1" s="1"/>
  <c r="L4159" i="1" s="1"/>
  <c r="L4160" i="1" s="1"/>
  <c r="L4161" i="1" s="1"/>
  <c r="L4162" i="1" s="1"/>
  <c r="L4163" i="1" s="1"/>
  <c r="O4156" i="1" s="1"/>
  <c r="U4211" i="1"/>
  <c r="U4213" i="1" s="1"/>
  <c r="U4210" i="1"/>
  <c r="U4212" i="1" s="1"/>
  <c r="L3847" i="1"/>
  <c r="L3848" i="1" s="1"/>
  <c r="L3849" i="1" s="1"/>
  <c r="L3850" i="1" s="1"/>
  <c r="L3851" i="1" s="1"/>
  <c r="L3852" i="1" s="1"/>
  <c r="L3853" i="1" s="1"/>
  <c r="L3854" i="1" s="1"/>
  <c r="L3855" i="1" s="1"/>
  <c r="L3856" i="1" s="1"/>
  <c r="L3857" i="1" s="1"/>
  <c r="O3846" i="1" s="1"/>
  <c r="L3939" i="1"/>
  <c r="L3940" i="1" s="1"/>
  <c r="L3941" i="1" s="1"/>
  <c r="L3942" i="1" s="1"/>
  <c r="L3943" i="1" s="1"/>
  <c r="L3944" i="1" s="1"/>
  <c r="L3945" i="1" s="1"/>
  <c r="L3946" i="1" s="1"/>
  <c r="L3947" i="1" s="1"/>
  <c r="L3948" i="1" s="1"/>
  <c r="L3949" i="1" s="1"/>
  <c r="O3938" i="1" s="1"/>
  <c r="L4063" i="1"/>
  <c r="L4064" i="1" s="1"/>
  <c r="L4065" i="1" s="1"/>
  <c r="L4066" i="1" s="1"/>
  <c r="L4067" i="1" s="1"/>
  <c r="L4068" i="1" s="1"/>
  <c r="L4069" i="1" s="1"/>
  <c r="L4070" i="1" s="1"/>
  <c r="L4071" i="1" s="1"/>
  <c r="L4072" i="1" s="1"/>
  <c r="O4062" i="1" s="1"/>
  <c r="U4168" i="1"/>
  <c r="U4169" i="1"/>
  <c r="U4341" i="1"/>
  <c r="U4342" i="1"/>
  <c r="N3965" i="1"/>
  <c r="L3965" i="1"/>
  <c r="L3966" i="1" s="1"/>
  <c r="L3967" i="1" s="1"/>
  <c r="L3968" i="1" s="1"/>
  <c r="L3969" i="1" s="1"/>
  <c r="L3970" i="1" s="1"/>
  <c r="L3971" i="1" s="1"/>
  <c r="L3972" i="1" s="1"/>
  <c r="L3973" i="1" s="1"/>
  <c r="O3964" i="1" s="1"/>
  <c r="L3977" i="1"/>
  <c r="L3978" i="1" s="1"/>
  <c r="L3979" i="1" s="1"/>
  <c r="L3980" i="1" s="1"/>
  <c r="L3981" i="1" s="1"/>
  <c r="L3982" i="1" s="1"/>
  <c r="L3983" i="1" s="1"/>
  <c r="L3984" i="1" s="1"/>
  <c r="L3985" i="1" s="1"/>
  <c r="O3976" i="1" s="1"/>
  <c r="U3991" i="1"/>
  <c r="U3990" i="1"/>
  <c r="L3988" i="1"/>
  <c r="L3989" i="1" s="1"/>
  <c r="L3990" i="1" s="1"/>
  <c r="L3991" i="1" s="1"/>
  <c r="L3992" i="1" s="1"/>
  <c r="L3993" i="1" s="1"/>
  <c r="L3994" i="1" s="1"/>
  <c r="L3995" i="1" s="1"/>
  <c r="L3996" i="1" s="1"/>
  <c r="L3997" i="1" s="1"/>
  <c r="O3987" i="1" s="1"/>
  <c r="K4023" i="1"/>
  <c r="L4034" i="1"/>
  <c r="L4035" i="1" s="1"/>
  <c r="L4036" i="1" s="1"/>
  <c r="O4033" i="1" s="1"/>
  <c r="L4117" i="1"/>
  <c r="L4118" i="1" s="1"/>
  <c r="L4119" i="1" s="1"/>
  <c r="L4120" i="1" s="1"/>
  <c r="L4121" i="1" s="1"/>
  <c r="L4122" i="1" s="1"/>
  <c r="L4123" i="1" s="1"/>
  <c r="L4124" i="1" s="1"/>
  <c r="L4125" i="1" s="1"/>
  <c r="L4126" i="1" s="1"/>
  <c r="L4127" i="1" s="1"/>
  <c r="O4116" i="1" s="1"/>
  <c r="U4248" i="1"/>
  <c r="U4247" i="1"/>
  <c r="U4257" i="1"/>
  <c r="U4256" i="1"/>
  <c r="U4264" i="1"/>
  <c r="U4263" i="1"/>
  <c r="L4291" i="1"/>
  <c r="O4291" i="1" s="1"/>
  <c r="K4291" i="1"/>
  <c r="U4309" i="1"/>
  <c r="U4310" i="1"/>
  <c r="L4362" i="1"/>
  <c r="L4363" i="1" s="1"/>
  <c r="O4362" i="1" s="1"/>
  <c r="K4362" i="1"/>
  <c r="L4401" i="1"/>
  <c r="L4402" i="1" s="1"/>
  <c r="O4401" i="1" s="1"/>
  <c r="K4401" i="1"/>
  <c r="L4142" i="1"/>
  <c r="L4143" i="1" s="1"/>
  <c r="L4144" i="1" s="1"/>
  <c r="L4145" i="1" s="1"/>
  <c r="L4146" i="1" s="1"/>
  <c r="L4147" i="1" s="1"/>
  <c r="O4141" i="1" s="1"/>
  <c r="U4178" i="1"/>
  <c r="U4186" i="1"/>
  <c r="L4195" i="1"/>
  <c r="O4195" i="1" s="1"/>
  <c r="U4204" i="1"/>
  <c r="U4203" i="1"/>
  <c r="L4239" i="1"/>
  <c r="L4240" i="1" s="1"/>
  <c r="L4241" i="1" s="1"/>
  <c r="L4242" i="1" s="1"/>
  <c r="O4238" i="1" s="1"/>
  <c r="L4267" i="1"/>
  <c r="L4268" i="1" s="1"/>
  <c r="L4269" i="1" s="1"/>
  <c r="L4270" i="1" s="1"/>
  <c r="O4267" i="1" s="1"/>
  <c r="K4267" i="1"/>
  <c r="U4278" i="1"/>
  <c r="U4277" i="1"/>
  <c r="L4285" i="1"/>
  <c r="O4285" i="1" s="1"/>
  <c r="K4285" i="1"/>
  <c r="L4350" i="1"/>
  <c r="L4351" i="1" s="1"/>
  <c r="O4350" i="1" s="1"/>
  <c r="K4350" i="1"/>
  <c r="K4395" i="1"/>
  <c r="L4395" i="1"/>
  <c r="L4396" i="1" s="1"/>
  <c r="O4395" i="1" s="1"/>
  <c r="L4576" i="1"/>
  <c r="O4576" i="1" s="1"/>
  <c r="K4576" i="1"/>
  <c r="L4657" i="1"/>
  <c r="O4657" i="1" s="1"/>
  <c r="K4657" i="1"/>
  <c r="L4222" i="1"/>
  <c r="L4223" i="1" s="1"/>
  <c r="L4224" i="1" s="1"/>
  <c r="L4225" i="1" s="1"/>
  <c r="L4226" i="1" s="1"/>
  <c r="O4222" i="1" s="1"/>
  <c r="T4222" i="1"/>
  <c r="U4222" i="1" s="1"/>
  <c r="U4241" i="1"/>
  <c r="U4240" i="1"/>
  <c r="L4330" i="1"/>
  <c r="L4331" i="1" s="1"/>
  <c r="L4332" i="1" s="1"/>
  <c r="O4330" i="1" s="1"/>
  <c r="K4330" i="1"/>
  <c r="L4347" i="1"/>
  <c r="L4348" i="1" s="1"/>
  <c r="O4347" i="1" s="1"/>
  <c r="K4347" i="1"/>
  <c r="L4421" i="1"/>
  <c r="L4422" i="1" s="1"/>
  <c r="O4421" i="1" s="1"/>
  <c r="K4421" i="1"/>
  <c r="L4458" i="1"/>
  <c r="O4457" i="1" s="1"/>
  <c r="L4463" i="1"/>
  <c r="L4464" i="1" s="1"/>
  <c r="L4465" i="1" s="1"/>
  <c r="O4463" i="1" s="1"/>
  <c r="K4463" i="1"/>
  <c r="L4625" i="1"/>
  <c r="L4626" i="1" s="1"/>
  <c r="O4625" i="1" s="1"/>
  <c r="K4625" i="1"/>
  <c r="L4637" i="1"/>
  <c r="L4638" i="1" s="1"/>
  <c r="O4637" i="1" s="1"/>
  <c r="K4637" i="1"/>
  <c r="U4078" i="1"/>
  <c r="U4081" i="1" s="1"/>
  <c r="L4215" i="1"/>
  <c r="L4216" i="1" s="1"/>
  <c r="L4217" i="1" s="1"/>
  <c r="L4218" i="1" s="1"/>
  <c r="L4219" i="1" s="1"/>
  <c r="O4215" i="1" s="1"/>
  <c r="T4215" i="1"/>
  <c r="U4215" i="1" s="1"/>
  <c r="L4318" i="1"/>
  <c r="L4319" i="1" s="1"/>
  <c r="O4318" i="1" s="1"/>
  <c r="K4318" i="1"/>
  <c r="L4494" i="1"/>
  <c r="L4495" i="1" s="1"/>
  <c r="O4494" i="1" s="1"/>
  <c r="K4494" i="1"/>
  <c r="K4560" i="1"/>
  <c r="K4669" i="1" s="1"/>
  <c r="K4671" i="1" s="1"/>
  <c r="L4560" i="1"/>
  <c r="L4561" i="1" s="1"/>
  <c r="O4560" i="1" s="1"/>
  <c r="L4208" i="1"/>
  <c r="L4209" i="1" s="1"/>
  <c r="L4210" i="1" s="1"/>
  <c r="L4211" i="1" s="1"/>
  <c r="L4212" i="1" s="1"/>
  <c r="O4208" i="1" s="1"/>
  <c r="L4252" i="1"/>
  <c r="L4255" i="1" s="1"/>
  <c r="L4256" i="1" s="1"/>
  <c r="L4257" i="1" s="1"/>
  <c r="L4258" i="1" s="1"/>
  <c r="O4252" i="1" s="1"/>
  <c r="L4261" i="1"/>
  <c r="L4262" i="1" s="1"/>
  <c r="L4263" i="1" s="1"/>
  <c r="L4264" i="1" s="1"/>
  <c r="O4261" i="1" s="1"/>
  <c r="L4307" i="1"/>
  <c r="L4308" i="1" s="1"/>
  <c r="L4309" i="1" s="1"/>
  <c r="O4307" i="1" s="1"/>
  <c r="L4339" i="1"/>
  <c r="L4340" i="1" s="1"/>
  <c r="L4341" i="1" s="1"/>
  <c r="O4339" i="1" s="1"/>
  <c r="L4380" i="1"/>
  <c r="L4381" i="1" s="1"/>
  <c r="O4380" i="1" s="1"/>
  <c r="L4592" i="1"/>
  <c r="O4591" i="1" s="1"/>
  <c r="L4597" i="1"/>
  <c r="L4598" i="1" s="1"/>
  <c r="O4597" i="1" s="1"/>
  <c r="L4404" i="1"/>
  <c r="L4405" i="1" s="1"/>
  <c r="O4404" i="1" s="1"/>
  <c r="L4424" i="1"/>
  <c r="L4425" i="1" s="1"/>
  <c r="O4424" i="1" s="1"/>
  <c r="L4451" i="1"/>
  <c r="L4452" i="1" s="1"/>
  <c r="O4451" i="1" s="1"/>
  <c r="L4454" i="1"/>
  <c r="L4455" i="1" s="1"/>
  <c r="O4454" i="1" s="1"/>
  <c r="L4482" i="1"/>
  <c r="L4483" i="1" s="1"/>
  <c r="O4482" i="1" s="1"/>
  <c r="L4485" i="1"/>
  <c r="L4486" i="1" s="1"/>
  <c r="O4485" i="1" s="1"/>
  <c r="L4527" i="1"/>
  <c r="O4527" i="1" s="1"/>
  <c r="K4567" i="1"/>
  <c r="L4579" i="1"/>
  <c r="O4579" i="1" s="1"/>
  <c r="L4586" i="1"/>
  <c r="O4585" i="1" s="1"/>
  <c r="L4631" i="1"/>
  <c r="L4632" i="1" s="1"/>
  <c r="O4631" i="1" s="1"/>
  <c r="L4660" i="1"/>
  <c r="O4660" i="1" s="1"/>
  <c r="L4536" i="1"/>
  <c r="L4537" i="1" s="1"/>
  <c r="O4536" i="1" s="1"/>
  <c r="L4545" i="1"/>
  <c r="O4545" i="1" s="1"/>
  <c r="L4570" i="1"/>
  <c r="L4571" i="1" s="1"/>
  <c r="O4570" i="1" s="1"/>
  <c r="L4640" i="1"/>
  <c r="L4641" i="1" s="1"/>
  <c r="O4640" i="1" s="1"/>
  <c r="L4651" i="1"/>
  <c r="L4652" i="1" s="1"/>
  <c r="O4651" i="1" s="1"/>
  <c r="U4225" i="1" l="1"/>
  <c r="U4224" i="1"/>
  <c r="U4160" i="1"/>
  <c r="U4159" i="1"/>
  <c r="U4093" i="1"/>
  <c r="U4092" i="1"/>
  <c r="U3191" i="1"/>
  <c r="U3190" i="1"/>
  <c r="U3122" i="1"/>
  <c r="U3127" i="1" s="1"/>
  <c r="U3121" i="1"/>
  <c r="U3126" i="1" s="1"/>
  <c r="U2975" i="1"/>
  <c r="U2976" i="1"/>
  <c r="T2539" i="1"/>
  <c r="T2538" i="1"/>
  <c r="U4026" i="1"/>
  <c r="U4025" i="1"/>
  <c r="U3930" i="1"/>
  <c r="U3929" i="1"/>
  <c r="U3430" i="1"/>
  <c r="U3429" i="1"/>
  <c r="U3092" i="1"/>
  <c r="U3095" i="1" s="1"/>
  <c r="U3103" i="1"/>
  <c r="U3093" i="1"/>
  <c r="U3096" i="1" s="1"/>
  <c r="U3326" i="1"/>
  <c r="U3329" i="1" s="1"/>
  <c r="U3327" i="1"/>
  <c r="U3330" i="1" s="1"/>
  <c r="U3220" i="1"/>
  <c r="U3219" i="1"/>
  <c r="U2947" i="1"/>
  <c r="U2948" i="1"/>
  <c r="T2345" i="1"/>
  <c r="T2344" i="1"/>
  <c r="U4218" i="1"/>
  <c r="U4217" i="1"/>
  <c r="U3262" i="1"/>
  <c r="U3261" i="1"/>
  <c r="U3004" i="1"/>
  <c r="U3005" i="1"/>
  <c r="U3299" i="1"/>
  <c r="U3300" i="1"/>
  <c r="T2274" i="1"/>
  <c r="T2273" i="1"/>
</calcChain>
</file>

<file path=xl/comments1.xml><?xml version="1.0" encoding="utf-8"?>
<comments xmlns="http://schemas.openxmlformats.org/spreadsheetml/2006/main">
  <authors>
    <author>Martin Leidy Vanesa</author>
  </authors>
  <commentList>
    <comment ref="E1894" authorId="0" shapeId="0">
      <text>
        <r>
          <rPr>
            <b/>
            <sz val="9"/>
            <color indexed="81"/>
            <rFont val="Tahoma"/>
            <family val="2"/>
          </rPr>
          <t>Martin Leidy Vanesa:</t>
        </r>
        <r>
          <rPr>
            <sz val="9"/>
            <color indexed="81"/>
            <rFont val="Tahoma"/>
            <family val="2"/>
          </rPr>
          <t xml:space="preserve">
Pago con embargo, 
1,039,886 consignado al banco agrario, lo demas al contratista.</t>
        </r>
      </text>
    </comment>
    <comment ref="K1894" authorId="0" shapeId="0">
      <text>
        <r>
          <rPr>
            <b/>
            <sz val="9"/>
            <color indexed="81"/>
            <rFont val="Tahoma"/>
            <family val="2"/>
          </rPr>
          <t>Martin Leidy Vanesa:</t>
        </r>
        <r>
          <rPr>
            <sz val="9"/>
            <color indexed="81"/>
            <rFont val="Tahoma"/>
            <family val="2"/>
          </rPr>
          <t xml:space="preserve">
Embargo por 1,039,711 consignado al banco agrario </t>
        </r>
      </text>
    </comment>
    <comment ref="K1895" authorId="0" shapeId="0">
      <text>
        <r>
          <rPr>
            <b/>
            <sz val="9"/>
            <color indexed="81"/>
            <rFont val="Tahoma"/>
            <family val="2"/>
          </rPr>
          <t>Martin Leidy Vanesa:</t>
        </r>
        <r>
          <rPr>
            <sz val="9"/>
            <color indexed="81"/>
            <rFont val="Tahoma"/>
            <family val="2"/>
          </rPr>
          <t xml:space="preserve">
Embargo por 1,039,711 consignado al banco agrario </t>
        </r>
      </text>
    </comment>
    <comment ref="E1896" authorId="0" shapeId="0">
      <text>
        <r>
          <rPr>
            <b/>
            <sz val="9"/>
            <color indexed="81"/>
            <rFont val="Tahoma"/>
            <family val="2"/>
          </rPr>
          <t>Martin Leidy Vanesa:</t>
        </r>
        <r>
          <rPr>
            <sz val="9"/>
            <color indexed="81"/>
            <rFont val="Tahoma"/>
            <family val="2"/>
          </rPr>
          <t xml:space="preserve">
Pago con embargo, 
1,039,886 consignado al banco agrario, lo demas al contratista.</t>
        </r>
      </text>
    </comment>
    <comment ref="K1896" authorId="0" shapeId="0">
      <text>
        <r>
          <rPr>
            <b/>
            <sz val="9"/>
            <color indexed="81"/>
            <rFont val="Tahoma"/>
            <family val="2"/>
          </rPr>
          <t>Martin Leidy Vanesa:</t>
        </r>
        <r>
          <rPr>
            <sz val="9"/>
            <color indexed="81"/>
            <rFont val="Tahoma"/>
            <family val="2"/>
          </rPr>
          <t xml:space="preserve">
Embargo por 1,039,711 consignado al banco agrario </t>
        </r>
      </text>
    </comment>
    <comment ref="K1897" authorId="0" shapeId="0">
      <text>
        <r>
          <rPr>
            <b/>
            <sz val="9"/>
            <color indexed="81"/>
            <rFont val="Tahoma"/>
            <family val="2"/>
          </rPr>
          <t>Martin Leidy Vanesa:</t>
        </r>
        <r>
          <rPr>
            <sz val="9"/>
            <color indexed="81"/>
            <rFont val="Tahoma"/>
            <family val="2"/>
          </rPr>
          <t xml:space="preserve">
Embargo por 1,039,711 consignado al banco agrario </t>
        </r>
      </text>
    </comment>
    <comment ref="E1898" authorId="0" shapeId="0">
      <text>
        <r>
          <rPr>
            <b/>
            <sz val="9"/>
            <color indexed="81"/>
            <rFont val="Tahoma"/>
            <family val="2"/>
          </rPr>
          <t>Martin Leidy Vanesa:</t>
        </r>
        <r>
          <rPr>
            <sz val="9"/>
            <color indexed="81"/>
            <rFont val="Tahoma"/>
            <family val="2"/>
          </rPr>
          <t xml:space="preserve">
Pago con embargo, 
1,039,886 consignado al banco agrario, lo demas al contratista.</t>
        </r>
      </text>
    </comment>
    <comment ref="K1898" authorId="0" shapeId="0">
      <text>
        <r>
          <rPr>
            <b/>
            <sz val="9"/>
            <color indexed="81"/>
            <rFont val="Tahoma"/>
            <family val="2"/>
          </rPr>
          <t>Martin Leidy Vanesa:</t>
        </r>
        <r>
          <rPr>
            <sz val="9"/>
            <color indexed="81"/>
            <rFont val="Tahoma"/>
            <family val="2"/>
          </rPr>
          <t xml:space="preserve">
Embargo por 1,039,711 consignado al banco agrario </t>
        </r>
      </text>
    </comment>
    <comment ref="K1899" authorId="0" shapeId="0">
      <text>
        <r>
          <rPr>
            <b/>
            <sz val="9"/>
            <color indexed="81"/>
            <rFont val="Tahoma"/>
            <family val="2"/>
          </rPr>
          <t>Martin Leidy Vanesa:</t>
        </r>
        <r>
          <rPr>
            <sz val="9"/>
            <color indexed="81"/>
            <rFont val="Tahoma"/>
            <family val="2"/>
          </rPr>
          <t xml:space="preserve">
Embargo por 1,039,711 consignado al banco agrario </t>
        </r>
      </text>
    </comment>
    <comment ref="E1900" authorId="0" shapeId="0">
      <text>
        <r>
          <rPr>
            <b/>
            <sz val="9"/>
            <color indexed="81"/>
            <rFont val="Tahoma"/>
            <family val="2"/>
          </rPr>
          <t>Martin Leidy Vanesa:</t>
        </r>
        <r>
          <rPr>
            <sz val="9"/>
            <color indexed="81"/>
            <rFont val="Tahoma"/>
            <family val="2"/>
          </rPr>
          <t xml:space="preserve">
Pago con embargo, 
1,039,886 consignado al banco agrario, lo demas al contratista.</t>
        </r>
      </text>
    </comment>
    <comment ref="K1900" authorId="0" shapeId="0">
      <text>
        <r>
          <rPr>
            <b/>
            <sz val="9"/>
            <color indexed="81"/>
            <rFont val="Tahoma"/>
            <family val="2"/>
          </rPr>
          <t>Martin Leidy Vanesa:</t>
        </r>
        <r>
          <rPr>
            <sz val="9"/>
            <color indexed="81"/>
            <rFont val="Tahoma"/>
            <family val="2"/>
          </rPr>
          <t xml:space="preserve">
Embargo por 1,039,711 consignado al banco agrario </t>
        </r>
      </text>
    </comment>
    <comment ref="K1901" authorId="0" shapeId="0">
      <text>
        <r>
          <rPr>
            <b/>
            <sz val="9"/>
            <color indexed="81"/>
            <rFont val="Tahoma"/>
            <family val="2"/>
          </rPr>
          <t>Martin Leidy Vanesa:</t>
        </r>
        <r>
          <rPr>
            <sz val="9"/>
            <color indexed="81"/>
            <rFont val="Tahoma"/>
            <family val="2"/>
          </rPr>
          <t xml:space="preserve">
Embargo por 1,039,711 consignado al banco agrario </t>
        </r>
      </text>
    </comment>
    <comment ref="E2358" authorId="0" shapeId="0">
      <text>
        <r>
          <rPr>
            <b/>
            <sz val="9"/>
            <color indexed="81"/>
            <rFont val="Tahoma"/>
            <family val="2"/>
          </rPr>
          <t>Martin Leidy Vanesa:</t>
        </r>
        <r>
          <rPr>
            <sz val="9"/>
            <color indexed="81"/>
            <rFont val="Tahoma"/>
            <family val="2"/>
          </rPr>
          <t xml:space="preserve">
valor embargo</t>
        </r>
      </text>
    </comment>
    <comment ref="E2360" authorId="0" shapeId="0">
      <text>
        <r>
          <rPr>
            <b/>
            <sz val="9"/>
            <color indexed="81"/>
            <rFont val="Tahoma"/>
            <family val="2"/>
          </rPr>
          <t>Martin Leidy Vanesa:</t>
        </r>
        <r>
          <rPr>
            <sz val="9"/>
            <color indexed="81"/>
            <rFont val="Tahoma"/>
            <family val="2"/>
          </rPr>
          <t xml:space="preserve">
valor embargo</t>
        </r>
      </text>
    </comment>
    <comment ref="E2362" authorId="0" shapeId="0">
      <text>
        <r>
          <rPr>
            <b/>
            <sz val="9"/>
            <color indexed="81"/>
            <rFont val="Tahoma"/>
            <family val="2"/>
          </rPr>
          <t>Martin Leidy Vanesa:</t>
        </r>
        <r>
          <rPr>
            <sz val="9"/>
            <color indexed="81"/>
            <rFont val="Tahoma"/>
            <family val="2"/>
          </rPr>
          <t xml:space="preserve">
valor embargo</t>
        </r>
      </text>
    </comment>
    <comment ref="E2364" authorId="0" shapeId="0">
      <text>
        <r>
          <rPr>
            <b/>
            <sz val="9"/>
            <color indexed="81"/>
            <rFont val="Tahoma"/>
            <family val="2"/>
          </rPr>
          <t>Martin Leidy Vanesa:</t>
        </r>
        <r>
          <rPr>
            <sz val="9"/>
            <color indexed="81"/>
            <rFont val="Tahoma"/>
            <family val="2"/>
          </rPr>
          <t xml:space="preserve">
valor embargo</t>
        </r>
      </text>
    </comment>
  </commentList>
</comments>
</file>

<file path=xl/sharedStrings.xml><?xml version="1.0" encoding="utf-8"?>
<sst xmlns="http://schemas.openxmlformats.org/spreadsheetml/2006/main" count="4729" uniqueCount="4315">
  <si>
    <t xml:space="preserve">ANEXO No. 8
RELACION DE PAGOS CONTRATOS </t>
  </si>
  <si>
    <t xml:space="preserve"> </t>
  </si>
  <si>
    <t>CONCEPTO</t>
  </si>
  <si>
    <t>V/BRUTO</t>
  </si>
  <si>
    <t>RETEIVA</t>
  </si>
  <si>
    <t>RETEFUENTE</t>
  </si>
  <si>
    <t>ICA</t>
  </si>
  <si>
    <t>VALOR PAGO 
NETO</t>
  </si>
  <si>
    <t>SALDO PENDIENTE DE CANCELAR</t>
  </si>
  <si>
    <t>No. Planilla</t>
  </si>
  <si>
    <t xml:space="preserve">PERIODO </t>
  </si>
  <si>
    <t>SALUD</t>
  </si>
  <si>
    <t>PENSION</t>
  </si>
  <si>
    <t>CONTRATO</t>
  </si>
  <si>
    <t>PAGO</t>
  </si>
  <si>
    <t>IVA</t>
  </si>
  <si>
    <t xml:space="preserve"> RETEFUENTE </t>
  </si>
  <si>
    <t>CTO DE CONSULTORIA No.  338-2011 BDO AUDIT S.A.</t>
  </si>
  <si>
    <t>AUTORIZACION DE PAGO MES DE ENERO Y FEBRERO DEL CONTRATO 338 - 2011</t>
  </si>
  <si>
    <t>AUTORIZACION DE PAGO MES DE MARZO DEL CONTRATO 338 - 2011</t>
  </si>
  <si>
    <t>AUTORIZACION DE PAGO MES DE ABRIL Y MAYO DEL CONTRATO 338 - 2011</t>
  </si>
  <si>
    <t>AUTORIZACION DE PAGO MES DE JUNIO DEL CONTRATO 338 - 2011</t>
  </si>
  <si>
    <t>AUTORIZACION DE PAGO MES DE JULIO DEL CONTRATO 338 - 2011</t>
  </si>
  <si>
    <t>AUTORIZACION DE PAGO MES DE AGOSTO DEL CONTRATO 338 - 2011</t>
  </si>
  <si>
    <t xml:space="preserve">SALDOS LIBERADOS </t>
  </si>
  <si>
    <t>CONTRATO No. 517 DE 2011 COMISION FIDUCIARIA (2013)</t>
  </si>
  <si>
    <t>OP. 199935 COMISION DE ENERO DE 2013 FACT 15969</t>
  </si>
  <si>
    <t>OP 209649 COMISION FIDUCIARIA MES DE FEBRERO DE 2013 BOG 16100</t>
  </si>
  <si>
    <t>OP 230106 COMISION MAR 16162 ABR -16292 MAY -16487 JUN-16589 JUL-16707 AGO-16855</t>
  </si>
  <si>
    <t>OP 246567 COMISIONES SEP-16979 OCT-16979</t>
  </si>
  <si>
    <t>COMISIONES MES DE NOVIEMBRE Y DICIEMBRE DEL 2013 - FACT 17289, DICIEMBRE-FACT 17181, NOVIEMBRE</t>
  </si>
  <si>
    <t>CONTRATO No. 517 DE 2011 COMISION FIDUCIARIA (2014)</t>
  </si>
  <si>
    <t>COMISION FIDUCIARIA MES DE ENERO Y FEBRERO DE 2014 FACTURAS 17354-ENERO/17518-FEBRERO</t>
  </si>
  <si>
    <t>GIRO 18 - CTO 517 PAGO COMISION FACTURA 17905 Y NC 098 MES DE ABRIL DE 2014.</t>
  </si>
  <si>
    <t>GIRO 18 - CTO 517 PAGO COMISION FACTURA BOG 17642 FIDEICOMISO GL 288 MES DE MARZO DE 2014</t>
  </si>
  <si>
    <t>GIRO 18 - CTO 517 PAGO COMISION FACTURA 18058 Y NC 099 MES DE MAYO DE 2014</t>
  </si>
  <si>
    <t>CONTRATO No. 517 DE 2011 COMISION FIDUCIARIA (2014-PRORROGA)</t>
  </si>
  <si>
    <t>CAUSACION COMISION FIDUCIARIA MES DE JULIO DE 2014 FACTURA 18432 ID 0010000259</t>
  </si>
  <si>
    <t>CAUSACION COMISION FIDUCIARIA MES DE AGOSTO DE 2014 FACTURA 18658 ID CLIENTE 0010000259</t>
  </si>
  <si>
    <t>PAGO COMISION FIDUCIARIA MES DE SEPTIEMBRE 2014 FACTURA 18868 ID DEL TERCERO 0010000259</t>
  </si>
  <si>
    <t>PAGO COMISION FIDUCIARIA MES DE OCTUBRE 2014 FACTURA 19026 ID DEL TERCERO 0010000259</t>
  </si>
  <si>
    <t>AUTORIZACION PAGO COMISION FIDUCIARIA MES DE NOVIEMBRE DE 2014</t>
  </si>
  <si>
    <t>PAGO COMISION FIDUCIARIA MES DE DICIEMBRE 2014 FACTURA 19477 ID DEL TERCERO 0010000259</t>
  </si>
  <si>
    <t>PAGO COMISION FIDUCIARIA MES DE ENERO DE 2015 FACTURA 19758 ID DEL TERCERO 0010000259</t>
  </si>
  <si>
    <t>PAGO COMISION FIDUCIARIA MES DE FEBRERO DE 2015 FACTURA 19856 ID DEL TERCERO 0010000259</t>
  </si>
  <si>
    <t>PAGO COMISION FIDUCIARIA MES DE MARZO DE 2015 FACTURA 20110 ID DEL TERCERO 0010000259</t>
  </si>
  <si>
    <t>PAGO COMISION FIDUCIARIA MES DE ABRIL DE 2015 FACTURA 20327 ID DEL TERCERO 0010000259</t>
  </si>
  <si>
    <t>PAGO COMISION FIDUCIARIA MES DE MAYO DE 2015 FACTURA 20517 ID DEL TERCERO 0010000259</t>
  </si>
  <si>
    <t>SALDOS LIBERADOS EN CTO 517/2011 (PRORROGA 2)</t>
  </si>
  <si>
    <t>CONTRATO No. 407 DE 2013 UNE</t>
  </si>
  <si>
    <t>OP 249110 CONSTRUCCION DEL SISTEMA INTEGRADO DE INFORMACION DEL MINISTERIO DE TRABAJO</t>
  </si>
  <si>
    <t>CONTRATO No. 236 DE 2014 ESE INSTITUTO NACIONAL DE CANCEROLOGIA</t>
  </si>
  <si>
    <t>IMPLEMENTACION DEL PLAN NACIONAL DE PREVENCION DEL CANCER OCUPACIONAL</t>
  </si>
  <si>
    <t>AUTORIZACIÓN DE GIRO 2 DEL CTO 236 DE 2014 - HONORARIOS</t>
  </si>
  <si>
    <t>AUTORIZACION GIRO 3 DEL CONTRATO 236 DE 2014</t>
  </si>
  <si>
    <t>AUTORIZACION DE GIRO 4 DEL CONTRATO 236 DE 2014</t>
  </si>
  <si>
    <t>CONTRATO No. 224 DE 2014 IMPRENTA NACIONAL DE COLOMBIA</t>
  </si>
  <si>
    <t>AUTORIZACION DE GIRO 1 CONTRATO 224 DE 2014 - HONORARIOS</t>
  </si>
  <si>
    <t>AUTORIZACION DE GIRO 2 CONTRATO 224 DE 2014 - HONORARIOS</t>
  </si>
  <si>
    <t>AUTORIZACION DE GIRO 3 CONTRATO 224 DE 2014 - HONORARIOS</t>
  </si>
  <si>
    <t>AUTORIZACION DEL ULTIMO PAGO DEL CONTRATO 224 DE 2014</t>
  </si>
  <si>
    <t>CONTRATO No.  341/2014 - MEDIAEDGE- VIGENCIA 2015</t>
  </si>
  <si>
    <t>AUTORIZACION DE PAGO 3 DEL CONTRATO 341 DE 2014</t>
  </si>
  <si>
    <t>-</t>
  </si>
  <si>
    <t>AUTORIZACION DE PAGO 4 DEL CONTRATO 341 DE 2014</t>
  </si>
  <si>
    <t>AUTORIZACION DE PAGO 5 DEL CONTRATO 341 DE 2014</t>
  </si>
  <si>
    <t>AUTORIZACIÓN DE GIRO 6 CONTRATO 341-2014 LINEA A</t>
  </si>
  <si>
    <t>AUTORIZACIÓN DE GIRO 7 CONTRATO 341-2014, FACTURA No. 00095298 - LINEA A.</t>
  </si>
  <si>
    <t>AUTORIZACIÓN DE GIRO 8 CONTRATO 341-2014, FACTURA No. 00095753 - LINEA A.</t>
  </si>
  <si>
    <t>CONTRATO No.  346/2014 - INSTITUTO DE EVALUACION TEGNOLOGICA EN SALUD</t>
  </si>
  <si>
    <t>AUTORIZACION DE PAGO 1 DEL CONTRATO DE ASOCIACION 346 DE 2014</t>
  </si>
  <si>
    <t xml:space="preserve">AUTORIZACIÓN DE PAGO 2 DEL CONTRATO 346 DE 2014 - LINEA A </t>
  </si>
  <si>
    <t>AUTORIZACION DE GIRO 3 DEL CONTRATO 346 DE 2014</t>
  </si>
  <si>
    <t>AUTORIZACIÓN DE PAGO 4 DEL CONTRATO 346 DE 2014. FACTURA No. 57 / LINEA C Y LINEA F.</t>
  </si>
  <si>
    <t>CONTRATO No. 046 DE 2015 VANEGAS GONZALEZ MAYURY</t>
  </si>
  <si>
    <t>AUTORIZACION DE GIRO 1 CONTRATO 046 DE 2015 - HONORARIOS - LINEA C - RP 005-15</t>
  </si>
  <si>
    <t>AUTORIZACION DE GIRO 2 CONTRATO 046 DE 2015 - HONORARIOS - LINEA C - RP 005-15</t>
  </si>
  <si>
    <t>AUTORIZACION DE PAGO 3 DEL CONTRATO 046 DE 2015</t>
  </si>
  <si>
    <t>AUTORIZACION DE PAGO 4 DEL CONTRATO 046 DE 2015</t>
  </si>
  <si>
    <t>AUTORIZACION DE PAGO 5 DEL CONTRATO 046 DE 2015</t>
  </si>
  <si>
    <t>AUTORIZACION DE PAGO 6 DEL CONTRATO 046 DE 2015</t>
  </si>
  <si>
    <t>AUTORIZACION DE PAGO 7 DEL CONTRATO 046 DE 2015</t>
  </si>
  <si>
    <t>AUTORIZACION DE PAGO 8 DEL CONTRATO 046 DE 2015</t>
  </si>
  <si>
    <t>AUTORIZACION DE PAGO 9 DEL CONTRATO 046 DE 2015 - DEL 23-09-2015 AL 22-10-2015</t>
  </si>
  <si>
    <t>AUTORIZACION DE PAGO 10 DEL CONTRATO 046 DE 2015 - DEL 23-10-2015 AL 22-11-2015</t>
  </si>
  <si>
    <t>AUTORIZACIÓN DE PAGO 11 DEL CONTRATO 046 DE 2015 - DEL 23-11-2015 AL 22-12-2015</t>
  </si>
  <si>
    <t>AUTORIZACIÓN DE PAGO 12 DEL CONTRATO 046 DE 2015 - DEL 23-12-2015 AL 30-12-2015. LINEA C.</t>
  </si>
  <si>
    <t>CONTRATO No. 069 DE 2015 ANDRES VASQUEZ CABRAL</t>
  </si>
  <si>
    <t>AUTORIZACION DEL PAGO 1 DEL CONTRATO 069 DE 2015</t>
  </si>
  <si>
    <t>AUTORIZACION DEL PAGO 2 DEL CONTRATO 069 DE 2015</t>
  </si>
  <si>
    <t>AUTORIZACION DE PAGO 3 DEL CONTRATO 069 DE 2015</t>
  </si>
  <si>
    <t>AUTORIZACION DE PAGO 4 DEL CONTRATO 069 DE 2015</t>
  </si>
  <si>
    <t>AUTORIZACION DE PAGO 5 DEL CONTRATO 069 DE 2015</t>
  </si>
  <si>
    <t>AUTORIZACION DE PAGO 6 DEL CONTRATO 069 DE 2015</t>
  </si>
  <si>
    <t>AUTORIZACION DE PAGO 7 DEL CONTRATO 069 DE 2015</t>
  </si>
  <si>
    <t>AUTORIZACION DE PAGO 8 DEL CONTRATO 069 DE 2015 - PERIODO DEL 29 DE AGOSTO AL 28 DE SEPTIEMBRE DE 2015</t>
  </si>
  <si>
    <t>AUTORIZACION DE PAGO 9 DEL CONTRATO 069 DE 2015 29-09-2015 AL 28-10-2015</t>
  </si>
  <si>
    <t>AUTORIZACION DE PAGO 10 DEL CONTRATO 069 DE 2015 29-10-2015 AL 28-11-2015</t>
  </si>
  <si>
    <t>AUTORIZACIÓN DE PAGO 11 DEL CONTRATO 069 DE 2015 29-11-2015 AL 28-12-2015. LINEA C</t>
  </si>
  <si>
    <t>CONTRATO No. 054 DE 2015 DAGOBERTO  GOMEZ CONDE</t>
  </si>
  <si>
    <t>AUTORIZACION DE GIRO 1 CONTRATO 054 DE 2015 - HONORARIOS - LINEA A- RP 006-15</t>
  </si>
  <si>
    <t>AUTORIZACION DE GIRO 2 CONTRATO 054 DE 2015 - HONORARIOS - LINEA A- RP 006-15</t>
  </si>
  <si>
    <t>AUTORIZACIÓN DE GIRO 3 CONTRATO 054 DE 2015 - HONORARIOS - LINEA A</t>
  </si>
  <si>
    <t>AUTORIZACION DE GIRO 4 CONTRATO 054 DE 2015 -LINEA A</t>
  </si>
  <si>
    <t xml:space="preserve">AUTORIZACION DE GIRO 5 CONTRATO 054 DE 2015 </t>
  </si>
  <si>
    <t>AUTORIZACION DE GIRO 6 CONTRATO 054 DE 2015</t>
  </si>
  <si>
    <t>AUTORIZACION DE GIRO 7 CONTRATO 054 DE 2015</t>
  </si>
  <si>
    <t>AUTORIZACION DE GIRO 1 COMISIONES DEL CONTRATO 054 DE 2015</t>
  </si>
  <si>
    <t>AUTORIZACION DE GIRO 8 CONTRATO 054 DE 2015</t>
  </si>
  <si>
    <t>AUTORIZACION DE GIRO 9 CONTRATO 054 DE 2015 DEL 23-09-2015 AL 22-10-2015</t>
  </si>
  <si>
    <t>AUTORIZACION DE GIRO 2 COMISIONES DEL CONTRATO 054 DE 2015- DESPLAZAMIENTO AGOSTO Y SEPTIEMBRE</t>
  </si>
  <si>
    <t>AUTORIZACIÓN DEL PAGO 10 DEL CONTRATO 054 DE 2015 DEL 23-10-15 AL 22-11-15 LINEA A</t>
  </si>
  <si>
    <t>AUTORIZACIÓN DEL PAGO 11 DEL CONTRATO 054 DE 2015 DEL 23-11-15 AL 22-12-15 LINEA A</t>
  </si>
  <si>
    <t>CONTRATO No. 135 DE 2015 ALEXANDRA DAZA CASTILLO</t>
  </si>
  <si>
    <t>AUTORIZACIÓN DE GIRO 1 CONTRATO 135 DE 2015 - HONORARIOS - LINEA A - RP 011-15</t>
  </si>
  <si>
    <t>AUTORIZACION DE GIRO 2 CONTRATO 135 DE 2015 - HONORARIOS - LINEA A</t>
  </si>
  <si>
    <t>AUTORIZACION DE PAGO 3 DEL CONTRATO 135 DE 2015</t>
  </si>
  <si>
    <t>AUTORIZACION DE PAGO 4 DEL CONTRATO 135 DE 2015</t>
  </si>
  <si>
    <t>AUTORIZACION DE PAGO 5 DEL CONTRATO 135 DE 2015</t>
  </si>
  <si>
    <t>AUTORIZACION DE PAGO 6 DEL CONTRATO 135 DE 2015</t>
  </si>
  <si>
    <t>AUTORIZACION DE PAGO 7 DEL CONTRATO 135 DE 2015 del 19-08-2015 AL 19-09-2015</t>
  </si>
  <si>
    <t>AUTORIZACION DE PAGO 8 DEL CONTRATO 135 DE 2015 del 19-09-2015 AL 18-10-2015 -SE ACLARA QUE LA ORDEN DE GIRO ORIGINAL SE ENCUENTRA CON No 20150321853362 DONDE INFORMA LOS PAGOS QUE SE DEBEN REALIZAR</t>
  </si>
  <si>
    <t>AUTORIZACION DE PAGO 9 DEL CONTRATO 135 DE 2015 del 19-10-2015 AL 18-11-2015</t>
  </si>
  <si>
    <t>AUTORIZACIÓN DE PAGO 10 DEL CONTRATO 135 DE 2015 del 19-11-2015 AL 18-12-2015. LINEA A.</t>
  </si>
  <si>
    <t>AUTORIZACION DE PAGO 11 DEL CONTRATO 135 DE 2015 del 19-12-2015 AL 31-12-2015. LINEA A.</t>
  </si>
  <si>
    <t>CONTRATO No. 132 DE 2015 ALEJANDRA MEJIA HERNANDEZ</t>
  </si>
  <si>
    <t>AUTORIZACION DE PAGO 1 DEL CONTRATO 132 DE 2015</t>
  </si>
  <si>
    <t>AUTORIZACIÓN DE PAGO 2 DEL CONTRATO 132 DE 2015</t>
  </si>
  <si>
    <t>AUTORIZACION DE PAGO 3 DEL CONTRATO 132 DE 2015</t>
  </si>
  <si>
    <t>AUTORIZACION DE PAGO 4 DEL CONTRATO 132 DE 2015</t>
  </si>
  <si>
    <t>AUTORIZACION DE PAGO 5 DEL CONTRATO 132 DE 2015</t>
  </si>
  <si>
    <t>AUTORIZACION DE PAGO 6 DEL CONTRATO 132 DE 2015</t>
  </si>
  <si>
    <t>AUTORIZACION DE PAGO 7 DEL CONTRATO 132 DE 2015 - PERIODO 17 DE AGOSTO AL 16 DE SEPTIEMBRE</t>
  </si>
  <si>
    <t>AUTORIZACION DE PAGO 8 DEL CONTRATO 132 DE 2015  AUTORIZACION DE PAGO 8 DEL CONTRATO 132 DE 2015 - 17 SEP AL 16 OCT</t>
  </si>
  <si>
    <t>AUTORIZACION DE PAGO 10 DEL CONTRATO 132 DE 2015 - 17 NOV AL 16 DIC DE 2015 - linea H</t>
  </si>
  <si>
    <t>AUTORIZACIÓN DE PAGO 11 DEL CONTRATO 132 DE 2015 - 17/12/2015 AL 28/12/2015 - LINEA H.</t>
  </si>
  <si>
    <t>CONTRATO No. 146 DE 2015 PLAZA MAYOR MEDELLIN CONVENCIONES Y EXPO</t>
  </si>
  <si>
    <t>AUTORIZACION DE GIRO 1 CONTRATO 146 DE 2015</t>
  </si>
  <si>
    <t>AUTORIZACION DE GIRO 2 CONTRATO 146 DE 2015</t>
  </si>
  <si>
    <t>AUTORIZACION DE GIRO 3 CONTRATO 146 DE 2015</t>
  </si>
  <si>
    <t>AUTORIZACION DE GIRO 4 CONTRATO 146 DE 2015</t>
  </si>
  <si>
    <t>AUTORIZACIÓN DE GIRO 5 CONTRATO 146 DE 2015 - HONORARIOS ADMINISTRACIÓN DE RECURSOS FACTURA No. 21480</t>
  </si>
  <si>
    <t>CONTRATO No. 131 DE 2015 PAOLA ANDREA BURGOS MONTENEGRO</t>
  </si>
  <si>
    <t>PRIMER PAGO DEL CONTRATO 131-2015 HONORARIOS</t>
  </si>
  <si>
    <t>AUTORIZACION DE PAGO 2 DEL CONTRATO 131 DE 2015</t>
  </si>
  <si>
    <t>AUTORIZACION DE PAGO 3 DEL CONTRATO 131 DE 2015</t>
  </si>
  <si>
    <t>AUTORIZACION DE PAGO 4 DEL CONTRATO 131 DE 2015</t>
  </si>
  <si>
    <t>AUTORIZACION DE PAGO 5 DEL CONTRATO 131 DE 2015</t>
  </si>
  <si>
    <t>AUTORIZACION DE PAGO 6 DEL CONTRATO 131 DE 2015</t>
  </si>
  <si>
    <t>AUTORIZACION DE PAGO 7 DEL CONTRATO 131 DE 2015</t>
  </si>
  <si>
    <t>AUTORIZACION DE PAGO 8 DEL CONTRATO 131 DE 2015 - DEL 16-09-2015 AL 15-10-2015</t>
  </si>
  <si>
    <t>AUTORIZACION DE PAGO 9 DEL CONTRATO 131 DE 2015 16-10-15- AL 15-11-15 LINEA C</t>
  </si>
  <si>
    <t>AUTORIZACIÓN DE PAGO 10 DEL CONTRATO 131 DE 2015 16-11-15- AL 15-12-15 LINEA C</t>
  </si>
  <si>
    <t>AUTORIZACIÓN DE PAGO 11 CONTRATO 131 DE 2015 - DEL 18-12-2015 AL 31-12-2015 - FACTURA 0105. LINEA C</t>
  </si>
  <si>
    <t>CONTRATO No. 123 DE 2015 ARCHILA ESCORCIA LELIS DEL CARMEN</t>
  </si>
  <si>
    <t>AUTORIZACION DE GIRO 1 CONTRATO 123 DE 2015</t>
  </si>
  <si>
    <t>AUTORIZACION DE GIRO 2 CONTRATO 123 DE 2015</t>
  </si>
  <si>
    <t>AUTORIZACION DE GIRO 3 CONTRATO 123 DE 2015</t>
  </si>
  <si>
    <t>AUTORIZACION DE GIRO 4 CONTRATO 123 DE 2015</t>
  </si>
  <si>
    <t>AUTORIZACION DE GIRO 5 CONTRATO 123 DE 2015 - DEL 18-06-2015 AL 17-07-2015</t>
  </si>
  <si>
    <t>AUTORIZACION DE GIRO 6 CONTRATO 123 DE 2015 - DEL 18-07-2015 AL 17-08-2015 - SE ACLARA QUE LA ORDEN DE GIRO ORIGINAL SE ENCUENTRA CON No 20150321853182 DONDE INFORMA LOS PAGOS QUE SE DEBEN REALIZAR</t>
  </si>
  <si>
    <t>AUTORIZACION DE GIRO 7 CONTRATO 123 DE 2015 - DEL 18-08-2015 AL 17-09-2015 - SE ACLARA QUE LA ORDEN DE GIRO ORIGINAL SE ENCUENTRA CON No 20150321853182 DONDE INFORMA LOS PAGOS QUE SE DEBEN REALIZAR</t>
  </si>
  <si>
    <t>AUTORIZACION DE GIRO 8 CONTRATO 123 DE 2015 - DEL 18-09-2015 AL 17-10-2015 - FACTURA 0102 -</t>
  </si>
  <si>
    <t>AUTORIZACION DE GIRO 9 CONTRATO 123 DE 2015 - DEL 18-10-2015 AL 17-11-2015 - FACTURA 0103 - SE ACLARA QUE LA ORDEN DE GIRO ORIGINAL SE ENCUENTRA CON No DE RADICADO 20150321998512 DONDE INFORMA LOS PAGOS QUE SE DEBEN REALIZAR</t>
  </si>
  <si>
    <t>AUTORIZACIÓN DE PAGO 10 CONTRATO 123 DE 2015 - DEL 18-11-2015 AL 17-12-2015 - FACTURA 0104. LINEA C</t>
  </si>
  <si>
    <t>AUTORIZACIÓN DE PAGO 11 CONTRATO 123 DE 2015 - DEL 18-12-2015 AL 31-12-2015 - FACTURA 0105. LINEA C</t>
  </si>
  <si>
    <t>SALDOS LIBERADOS</t>
  </si>
  <si>
    <t>CONTRATO No. 220 DE 2015 YEZID FERNANDO NIÑO BARRETO</t>
  </si>
  <si>
    <t>AUTORIZACION DE GIRO 2 CONTRATO 220 DE 2015</t>
  </si>
  <si>
    <t>AUTORIZACION DE GIRO 3 CONTRATO 220 DE 2015 - DEL 23-08-15- AL 22-09-15</t>
  </si>
  <si>
    <t>AUTORIZACION DE GIRO 4 CONTRATO 220 DE 2015 - DEL 23-09-15- AL 22-10-15 - LINEA C -</t>
  </si>
  <si>
    <t>AUTORIZACION DE GIRO 5 CONTRATO 220 DE 2015 - DEL 23-10-15- AL 22-11-15 - LINEA C - SE ACLARA QUE LA ORDEN DE GIRO ORIGINAL SE ENCUENTRA CON No DE RADICADO 20150322100112 DONDE INFORMA LOS PAGOS QUE SE DEBEN REALIZAR</t>
  </si>
  <si>
    <t>AUTORIZACIÓN DE PAGO 6 CONTRATO 220 DE 2015 - DEL 23-11-15- AL 22-12-15 - LINEA C</t>
  </si>
  <si>
    <t>AUTORIZACIÓN DE PAGO 7 CONTRATO 220 DE 2015 - DEL 23-12-15- AL 31-12-15 - LINEA C</t>
  </si>
  <si>
    <t>CONTRATO No. 230 DE 2015 LUIS ANGEL HERNANDEZ SABOGAL</t>
  </si>
  <si>
    <t>AUTORIZACION DE PAGO 1 DEL CONTRATO 230 DE 2015</t>
  </si>
  <si>
    <t>AUTORIZACIÓN DE PAGO 2 DEL CONTRATO 230 DE 2015. DEL 16/08/15 AL 15/09/15. LINEA C</t>
  </si>
  <si>
    <t>AUTORIZACIÓN DE PAGO 3 DEL CONTRATO 230 DE 2015. DEL 16/09/15 AL 15/10/15. LINEA C. SE ACLARA QUE LA ORDEN DE GIRO ORIGINAL SE ENCUENTRA CON No  DE RADICADO 20160320226942 DONDE INFORMA LOS PAGOS QUE SE DEBEN REALIZAR.</t>
  </si>
  <si>
    <t>AUTORIZACIÓN DE PAGO 4 DEL CONTRATO 230 DE 2015. DEL 16/10/15 AL 15/11/15. LINEA C. SE ACLARA QUE LA ORDEN DE GIRO ORIGINAL SE ENCUENTRA CON No  DE RADICADO 20160320226942 DONDE INFORMA LOS PAGOS QUE SE DEBEN REALIZAR.</t>
  </si>
  <si>
    <t>AUTORIZACIÓN DE PAGO 5 DEL CONTRATO 230 DE 2015. DEL 16/11/15 AL 15/12/15. LINEA C. SE ACLARA QUE LA ORDEN DE GIRO ORIGINAL SE ENCUENTRA CON No  DE RADICADO 20160320226942 DONDE INFORMA LOS PAGOS QUE SE DEBEN REALIZAR.</t>
  </si>
  <si>
    <t>AUTORIZACIÓN DE PAGO 6 DEL CONTRATO 230 DE 2015. DEL 16/12/15 AL 30/12/15. LINEA C.</t>
  </si>
  <si>
    <t>CONVENIO No. 227 DE 2015 CAMARA REGIONAL DE LA CONSTRUCCION DE BOGOTA</t>
  </si>
  <si>
    <t>AUTORIZACIÓN DE PAGO 1 DEL CONVENIO 227 DE 2015</t>
  </si>
  <si>
    <t>AUTORIZACION DE PAGO 2 DEL CONVENIO 227 DE 2015</t>
  </si>
  <si>
    <t>AUTORIZACIÓN DE PAGO 3 DEL CONVENIO 227 DE 2015 - FACTURA No. CB31653</t>
  </si>
  <si>
    <t>CONTRATO No. 224 DE 2015 AQUILINO  FORERO LOVERA</t>
  </si>
  <si>
    <t>AUTORIZACIÓN DE PAGO 1 DEL CONVENIO 224 DE 2015</t>
  </si>
  <si>
    <t>AUTORIZACIÓN DE PAGO 2 DEL CONVENIO 224 DE 2015</t>
  </si>
  <si>
    <t>AUTORIZACIÓN DEL PAGO 3 DEL CONTRATO 224 DE 2015 DEL 01/09/15 A 30/09/15 LINEA C.</t>
  </si>
  <si>
    <t>AUTORIZACIÓN DE PAGO 4 DEL CONTRATO 224 DE 2015 DEL 1/10/2015 AL 30/10/2015 LINEA C SE ACLARA QUE LA ORDEN DE GIRO ORIGINAL SE ENCUENTRA CON No DE RADICADO 20160320217942 DONDE INFORMA LOS PAGOS QUE SE DEBEN REALIZAR.</t>
  </si>
  <si>
    <t>AUTORIZACIÓN DE PAGO 5 DEL CONTRATO 224 DE 2015 DEL 1/11/2015 AL 30/11/2015 LINEA C.</t>
  </si>
  <si>
    <t>AUTORIZACION DE PAGO 6 DEL CONTRATO 224 DE 2015 DEL 1/12/2015 AL 30/12/2015 LINEA C.</t>
  </si>
  <si>
    <t>CONTRATO No. 187 DE 2015 PONTIFICIA UNIVERSIDAD JAVERIANA</t>
  </si>
  <si>
    <t>AUTORIZACION DE GIRO 1 DEL CONTRATO DE CONSULTORIA 187 DE 2015</t>
  </si>
  <si>
    <t>AUTORIZACIÓN DEL 2 PAGO DEL CONTRATO DE CONSULTORÍA 187 DE  2015.</t>
  </si>
  <si>
    <t>AUTORIZACIÓN DEL 3 PAGO DEL CONTRATO DE CONSULTORIA 187 DE  2015. LINEA F</t>
  </si>
  <si>
    <t>CONTRATO No. 205 DE 2015 INSTITUTO COLOMBIANO DE NORMAS TECNICAS</t>
  </si>
  <si>
    <t>AUTORIZACION DE GIRO 1 DEL CONTRATO 205 DE 2015</t>
  </si>
  <si>
    <t>AUTORIZACION DE GIRO 2 DEL CONTRATO 205 DE 2015 DEL 16 DE SEP DEL 2015 AL 15 DE NOV DE 2015</t>
  </si>
  <si>
    <t>AUTORIZACIÓN DEL PAGO 3 DEL CONTRATO 205 DE 2015 DEL 16-11-2015 AL 15-12-2015. LINEA A</t>
  </si>
  <si>
    <t>AUTORIZACION DEL PAGO 4 DEL CONTRATO 205 DE 2015 DEL 16-12-2015 AL 31-12-2015. LINEA A</t>
  </si>
  <si>
    <t>CONTRATO No. 248 DE 2015 SORECOL LTDA</t>
  </si>
  <si>
    <t>AUTORIZACION DE PAGO 1 DEL CONTRATO 248 DE 2015 - CORRESPONDIENTE AL 60% DEL CTO PARA 2015</t>
  </si>
  <si>
    <t>AUTORIZACIÓN DE PAGO 2 DEL CONTRATO 248 DE 2015 - CORRESPONDIENTE AL 40% DEL CTO PARA 2015. FACTURA No. 513</t>
  </si>
  <si>
    <t>AUTORIZACIÓN DE PAGO 1 DE LA ADICIÓN CONTRATO 248 DE 2015. FACTURA No. 514</t>
  </si>
  <si>
    <t>AUTORIZACION DE PAGO 3 DEL CONTRATO 248 DE 2015 - CORRESPONDIENTE AL 60% DE LOS RECURSOS ASIGNADOS PARA 2016. FACTURA No. 515.</t>
  </si>
  <si>
    <t>AUTORIZACIÓN DE PAGO 4 DEL CONTRATO 248 DE 2015 - CORRESPONDIENTE AL 40% APROBACION 2016. FACTURA No. 516.</t>
  </si>
  <si>
    <t>CONTRATO No. 209 DE 2015 LUZ DARY CARMONA MORENO</t>
  </si>
  <si>
    <t>AUTORIZACION DE GIRO 1 DEL CONTRATO 209 DE 2015- DEL 11-06-2015 AL 10-07-2015</t>
  </si>
  <si>
    <t>AUTORIZACION DE GIRO 2 DEL CONTRATO 209 DE 2015- DEL 11-06-2015 AL 10-07-2015</t>
  </si>
  <si>
    <t>AUTORIZACIÓN DEL 3 PAGO DEL CONTRATO 209 DE  2015. LINEA C</t>
  </si>
  <si>
    <t>AUTORIZACIÓN DEL 4 PAGO DEL CONTRATO 209 DE  2015. LINEA C</t>
  </si>
  <si>
    <t>AUTORIZACIÓN DEL 5 PAGO DEL CONTRATO 209 DE  2015. LINEA C</t>
  </si>
  <si>
    <t>AUTORIZACIÓN DEL 6 PAGO DEL CONTRATO 209 DE  2015. LINEA C</t>
  </si>
  <si>
    <t>AUTORIZACIÓN DEL PAGO 1 POR DESPLAZAMIENTOS DEL CONTRATO 209 DE  2015. LINEA C</t>
  </si>
  <si>
    <t>DEVOLUCION-IMP-7622</t>
  </si>
  <si>
    <t>DEVOLUCIÓN RTE- ICA</t>
  </si>
  <si>
    <t>CONTRATO No. 286 DE 2015 RADIO TELEVISION NACIONAL DE COLOMBIA</t>
  </si>
  <si>
    <t>AUTORIZACION DE PAGO 1 DEL CONTRATO 286 DE 2015 FACTURA. 14058</t>
  </si>
  <si>
    <t>AUTORIZACIÓN DE PAGO 2 DEL CONTRATO 286 DE 2015 FACT. 14095</t>
  </si>
  <si>
    <t>AUTORIZACIÓN DE PAGO 3 DEL CONTRATO 286 DE 2015 FACTURA. 14160</t>
  </si>
  <si>
    <t>CONVENIO 355/2014 - INSTITUTO DE EVALUACION TEGNOLOGICA EN SALUD &amp; INSTITUTO NACIONAL DE SALUD</t>
  </si>
  <si>
    <t>AUTORIZACION DE PAGO 1 DEL CONVENIO DE ASOCIACION 355 DE 2014</t>
  </si>
  <si>
    <t>AUTORIZACIÓN DE PAGO 3 DEL CONVENIO DE ASOCIACIÓN 355 DE 2014</t>
  </si>
  <si>
    <t xml:space="preserve">CONVENIO  290/2015 - UNIVERSIDAD NACIONAL DE COLOMBIA </t>
  </si>
  <si>
    <t>AUTORIZACION DE PAGO 1 DEL CONVENIO INTERADMINISTRATIVO 290 DE 2015, FACTURA No.2019-0002030</t>
  </si>
  <si>
    <t>AUTORIZACIÓN DE PAGO 2 DEL CONVENIO INTERADMINISTRATIVO 290 DE 2015. FACTURA No. 2019-0002041. LINEA A</t>
  </si>
  <si>
    <t>AUTORIZACION DE PAGO 3 DEL CONVENIO INTERADMINISTRATIVO 290 DE 2015. FACTURA No. 2019-0002146. LINEA A</t>
  </si>
  <si>
    <t>AUTORIZACION DE PAGO 4 DEL CONVENIO INTERADMINISTRATIVO 290 DE 2015. FACTURA No. 2019-0002218. LINEA A</t>
  </si>
  <si>
    <t>CONVENIO 305/2015 - OISS</t>
  </si>
  <si>
    <t>AUTORIZACIÓN DEL PAGO 1 DEL CONVENIO DE COOPERACIÓN 305 DE  2015. LINEA A</t>
  </si>
  <si>
    <t>AUTORIZACIÓN DEL PAGO 2 DEL CONVENIO DE COOPERACIÓN 305 DE  2015. LINEA A</t>
  </si>
  <si>
    <t>AUTORIZACION DEL PAGO 3 . ULTIMO PAGO DEL CONVENIO DE COOPERACION 305 DE 2015. LINEA A</t>
  </si>
  <si>
    <t>CONVENIO 295/2015 - ASOCIACION DE ABOGADOS LABORALISTAS DE TRABAJADORES</t>
  </si>
  <si>
    <t>AUTORIZACION PAGO 2 DEL CONTRATO 295 DE 2015 - LINEA B</t>
  </si>
  <si>
    <t>AUTORIZACION DEL PAGO 3 DEL CONTRATO 295 DE 2015. FACTURA No. 0094 - LINEA B.</t>
  </si>
  <si>
    <t>CONTRATO 258/2015 - CATALINA IRISARRI BOADA</t>
  </si>
  <si>
    <t>AUTORIZACIÓN DEL PAGO 1 DEL CONTRATO 258 DE  2015. LINEA A</t>
  </si>
  <si>
    <t>AUTORIZACIÓN DEL PAGO 2 DEL CONTRATO 258 DE  2015. LINEA A. SE ACLARA QUE LA ORDEN DE GIRO ORIGINAL SE ENCUENTRA CON No 20160320201472 DE RADICADO DONDE INFORMA LOS PAGOS QUE SE DEBEN REALIZAR.</t>
  </si>
  <si>
    <t>AUTORIZACIÓN DEL PAGO 3 DEL CONTRATO 258 DE  2015. LINEA A. SE ACLARA QUE LA ORDEN DE GIRO ORIGINAL SE ENCUENTRA CON No 20160320201472 DE RADICADO DONDE INFORMA LOS PAGOS QUE SE DEBEN REALIZAR.</t>
  </si>
  <si>
    <t>AUTORIZACIÓN DEL PAGO 4 DEL CONTRATO 258 DE  2015. LINEA A. SE ACLARA QUE LA ORDEN DE GIRO ORIGINAL SE ENCUENTRA CON No 20160320201472 DE RADICADO DONDE INFORMA LOS PAGOS QUE SE DEBEN REALIZAR.</t>
  </si>
  <si>
    <t>CONTRATO 298/2015  INSTITUTO NACIONAL DE CANCEROLOGIA EMPRESA SOCIAL DEL ESTADO</t>
  </si>
  <si>
    <t>AUTORIZACIÓN DEL PAGO No.1 DEL CONTRATO 298 DE  2015. LINEA B</t>
  </si>
  <si>
    <t xml:space="preserve">AUTORIZACION DEL PAGO No.2 DEL CONTRATO 298 DEL 2015. VIGENCIA 2016. LINEA F </t>
  </si>
  <si>
    <t>AUTORIZACION DEL PAGO No.3 DEL CONTRATO 298 DEL 2015. VIGENCIA 2016. LINEA F . FACT. 2000003507</t>
  </si>
  <si>
    <t>AUTORIZACION DEL PAGO No.4 DEL CONTRATO 298 DEL 2015. VIGENCIA 2016. LINEA F . FACT. 2000003662</t>
  </si>
  <si>
    <t>CONTRATO 303/2015  LINKTIC S.A.S</t>
  </si>
  <si>
    <t>AUTORIZACION DEL PAGO 2 DEL CONTRATO 303 DE  2015. FACTURA No. 0711 LINEA E</t>
  </si>
  <si>
    <t>AUTORIZACION DEL PAGO 3 DEL CONTRATO 303 DE  2015. FACTURA No. 0753 LINEA E</t>
  </si>
  <si>
    <t>CONTRATO 257/2015  MYRIAM CLARET DUEÑAS MEZA</t>
  </si>
  <si>
    <t>AUTORIZACIÓN DEL PAGO 1 DEL CONTRATO 257 DE  2015. LINEA A</t>
  </si>
  <si>
    <t>AUTORIZACIÓN DEL PAGO 2 DEL CONTRATO 257 DE  2015. LINEA A. SE ACLARA QUE LA ORDEN DE GIRO ORIGINAL SE ENCUENTRA CON No  DE RADICADO 20160320304072 DONDE INFORMA LOS PAGOS QUE SE DEBEN REALIZAR.</t>
  </si>
  <si>
    <t>AUTORIZACIÓN DEL PAGO 3 DEL CONTRATO 257 DE  2015. LINEA A. SE ACLARA QUE LA ORDEN DE GIRO ORIGINAL SE ENCUENTRA CON No  DE RADICADO 20160320304072 DONDE INFORMA LOS PAGOS QUE SE DEBEN REALIZAR.</t>
  </si>
  <si>
    <t>AUTORIZACION DEL PAGO 4 DEL CONTRATO 257 DE  2015. LINEA A.DEL 4/12/15 AL 31/12/16.</t>
  </si>
  <si>
    <t>CONVENIO 223/2015  ORGANIZACION IBEROAMERICANA DE SEGURIDAD SOCIAL OISS</t>
  </si>
  <si>
    <t>AUTORIZACIÓN DEL PAGO 1 DEL CONVENIO DE COOPERACIÓN 223 DE  2015. LINEA F</t>
  </si>
  <si>
    <t>AUTORIZACIÓN DEL PAGO 2 DEL CONVENIO DE COOPERACIÓN 223 DE  2015. LINEA A / LINEA B Y LINEA F</t>
  </si>
  <si>
    <t>AUTORIZACIÓN DEL PAGO 3 DEL CONVENIO DE COOPERACIÓN 223 DE  2015. LINEA A / LINEA B Y LINEA F</t>
  </si>
  <si>
    <t>CONTRATO No. 239 DE 2015 FIDUCIARIA LA PREVISORA S.A.</t>
  </si>
  <si>
    <t>PAGO COMISIÓN FIDUCIARIA MES DE AGOSTO DE 2015 FACTURA 21174 ID DEL TERCERO 0010207664</t>
  </si>
  <si>
    <t>PAGO COMISION FIDUCIARIA MES DE SEPTIEMBRE DE 2015 FACTURA 21357 ID DEL TERCERO 0010207664</t>
  </si>
  <si>
    <t>PAGO COMISION FIDUCIARIA MES DE OCTUBRE DE 2015 FACTURA 21588 ID DEL TERCERO 0010207664</t>
  </si>
  <si>
    <t>PAGO COMISION FIDUCIARIA MES DE NOVIEMBRE  DE 2015 FACTURA 21839 ID DEL TERCERO 0010207664</t>
  </si>
  <si>
    <t>PAGO COMISION FIDUCIARIA MES DE DICIEMBRE DE 2015 FACTURA 22037 ID DEL TERCERO 0010207664</t>
  </si>
  <si>
    <t>PAGO COMISIÓN FIDUCIARIA MES DE ENERO DE 2016 FACTURA 22256 ID DEL TERCERO 0010207664</t>
  </si>
  <si>
    <t>PAGO COMISIÓN FIDUCIARIA MES DE FEBRERO DE 2016 FACTURA 22448 ID DEL TERCERO 0010207664</t>
  </si>
  <si>
    <t>PAGO COMISION FIDUCIARIA MES DE MARZO DE 2016 FACTURA 22650 ID DEL TERCERO 0010207664</t>
  </si>
  <si>
    <t>PAGO COMISION FIDUCIARIA MES DE ABRIL DE 2016 FACTURA 22878 ID DEL TERCERO 0010207664</t>
  </si>
  <si>
    <t>PAGO COMISION FIDUCIARIA MES DE MAYO DE 2016 FACTURA 23090 ID DEL TERCERO 0010207664</t>
  </si>
  <si>
    <t>PAGO COMISION FIDUCIARIA MES DE JUNIO DE 2016 FACTURA 23264  ID DEL TERCERO 0010207664</t>
  </si>
  <si>
    <t>PAGO COMISIÓN FIDUCIARIA MES DE JULIO DE 2016 FACTURA 23482  ID DEL TERCERO 0010207664</t>
  </si>
  <si>
    <t>PAGO COMISION FIDUCIARIA MES DE AGOSTO DE 2016 FACTURA 23695  ID DEL TERCERO 0010207664</t>
  </si>
  <si>
    <t>PAGO COMISION FIDUCIARIA MES DE SEPTIEMBRE DE 2016 FACTURA 23930  ID DEL TERCERO 0010207664</t>
  </si>
  <si>
    <t>PAGO COMISIÓN FIDUCIARIA MES DE OCTUBRE DE 2016 FACTURA 24109  ID DEL TERCERO 0010207664</t>
  </si>
  <si>
    <t>PAGO COMISION FIDUCIARIA MES DE NOVIEMBRE DE 2016 FACTURA 24324  ID DEL TERCERO 0010207664</t>
  </si>
  <si>
    <t>PAGO COMISION FIDUCIARIA MES DE DICIEMBRE DE 2016 FACTURA 24497  ID DEL TERCERO 0010207664</t>
  </si>
  <si>
    <t>PAGO COMISION FIDUCIARIA MES DE ENERO DE 2017 FACTURA 24782  ID DEL TERCERO 0010207664</t>
  </si>
  <si>
    <t>PAGO COMISION FIDUCIARIA MES DE FEBRERO  DE 2017 FACTURA 24998  ID DEL TERCERO 0010207664</t>
  </si>
  <si>
    <t>PAGO COMISION FIDUCIARIA MES DE MARZO DE 2017 FACTURA 25188  ID DEL TERCERO 0010207664</t>
  </si>
  <si>
    <t>PAGO COMISIÓN FIDUCIARIA MES DE ABRIL DE 2017 FACTURA 25454  ID DEL TERCERO 0010207664</t>
  </si>
  <si>
    <t>PAGO COMISION FIDUCIARIA MES MAYO DE 2017 FACTURA 25674 CAUSADA UN389 VOUCHER 597 DE 23-05-2017  ID DEL TERCERO 0010207664</t>
  </si>
  <si>
    <t>PAGO COMISION FIDUCIARIA MES DE JUNIO DE 2017 FACTURA 25911 CAUSADA UN389 VOUCHER 630 DE 29-06-2017  ID DEL TERCERO 0010207664</t>
  </si>
  <si>
    <t>PAGO COMISION FIDUCIARIA MES DE JULIO DE 2017 FACTURA 26091 CAUSADA UN389 VOUCHER 656 DE 27/07-2017  ID DEL TERCERO 0010207664</t>
  </si>
  <si>
    <t>PAGO FINAL DE COMISIÓN FIDUCIARIA CONTRATO 239 DE 2015, MES DE AGOSTO DE 2016</t>
  </si>
  <si>
    <t>CONTRATO No. 250 DE 2015 JAHV MCGREGOR S.A.</t>
  </si>
  <si>
    <t>AUTORIZACIÓN PAGO 1 CONTRATO 250 SEPTIEMBRE DE 2015. LINEA H. factura No.7330</t>
  </si>
  <si>
    <t>AUTORIZACIÓN PAGO 2 CONTRATO 250 OCTUBRE LINEA H. FACTURA No. 7346 SE ACLARA QUE LA ORDEN DE GIRO ORIGINAL SE ENCUENTRA CON No  DE RADICADO 20160320490822 DONDE INFORMA LOS PAGOS QUE SE DEBEN REALIZAR.</t>
  </si>
  <si>
    <t>AUTORIZACION PAGO 3 CONTRATO 250 NOVIEMBRE LINEA H. FACTURA No. 8041.</t>
  </si>
  <si>
    <t>AUTORIZACION PAGO 4 CONTRATO 250 NOVIEMBRE LINEA H. FACTURA No. 8124.</t>
  </si>
  <si>
    <t>AUTORIZACION PAGO 5 CONTRATO 250 DE 2015 LINEA H. FACTURA No. 8083</t>
  </si>
  <si>
    <t xml:space="preserve">AUTORIZACION PAGO 6 CONTRATO 250 DE 2015 LINEA H. FACTURA No. 8125-8081.- </t>
  </si>
  <si>
    <t>AUTORIZACION PAGO 7 CONTRATO 250 DE 2015 LINEA H. FACTURA No. 8163</t>
  </si>
  <si>
    <t>AUTORIZACION PAGO 8 CONTRATO 250 DE 2015 LINEA H. FACTURA No. 8230 - L AORDEN ORIGINAL SE ENCUENTRA CON EL RADICADO NUMERO 20160322579602</t>
  </si>
  <si>
    <t>AUTORIZACION PAGO 9 CONTRATO 250 DE 2015 LINEA H. FACTURA No. 8324 -LAORDEN ORIGINAL SE ENCUENTRA CON EL RADICADO NUMERO 20160322579602</t>
  </si>
  <si>
    <t>AUTORIZACION PAGO 10 CONTRATO 250 DE 2015 LINEA H. FACTURA No. 8325-LAORDEN ORIGINAL SE ENCUENTRA CON EL RADICADO NUMERO 20160322579602</t>
  </si>
  <si>
    <t>AUTORIZACION PAGO 11 CONTRATO 250 DE 2015 LINEA H. FACTURA No. 8333 - LAORDEN ORIGINAL SE ENCUENTRA CON EL RADICADO NUMERO 20160322579602</t>
  </si>
  <si>
    <t>AUTORIZACION PAGO 12 CONTRATO 250 DE 2015 LINEA H. FACTURA No. 8365 -</t>
  </si>
  <si>
    <t>AUTORIZACION PAGO 13 CONTRATO 250 DE 2015 LINEA H. FACTURA No. 8395 -</t>
  </si>
  <si>
    <t>AUTORIZACION PAGO 14 CONTRATO 250 DE 2015 LINEA H. FACTURA No. 8435 -</t>
  </si>
  <si>
    <t>AUTORIZACIÓN PAGO 15 CONTRATO 250 DE 2015 LINEA H. FACTURA No. 8481.</t>
  </si>
  <si>
    <t>AUTORIZACIÓN PAGO 16 CONTRATO 250 DE 2015 LINEA H. FACTURA No. 8500.</t>
  </si>
  <si>
    <t>AUTORIZACION PAGO 17 CONTRATO 250 DE 2015 LINEA H. FACTURA No. 8547.</t>
  </si>
  <si>
    <t>AUTORIZACION PAGO 18 CONTRATO 250 DE 2015 LINEA H. FACTURA No. 8585.</t>
  </si>
  <si>
    <t>AUTORIZACION PAGO 19 CONTRATO 250 DE 2015 LINEA H. FACTURA No. 8618.</t>
  </si>
  <si>
    <t>AUTORIZACION PAGO 20 CONTRATO 250 DE 2015 LINEA H. FACTURA No. 8671,</t>
  </si>
  <si>
    <t>AUTORIZACION PAGO 21 CONTRATO 250 DE 2015 LINEA H. FACTURA No. 8700 PERIODO DEL 16 AL 31 DE MAYO DE 2017</t>
  </si>
  <si>
    <t>AUTORIZACION PAGO 21 CONTRATO 250 DE 2015 LINEA H. FACTURA No. 8699 PERIODO DEL 1 AL 15 DE MAYO DE 2017</t>
  </si>
  <si>
    <t>AUTORIZACION PAGO 22 CONTRATO 250 DE 2015 LINEA H. FACTURA No. 8710 CORRESPONDIENTE AL ME DE JUNIO DE 2017</t>
  </si>
  <si>
    <t>AUTORIZACION PAGO 23 CONTRATO 250 DE 2015 LINEA H. FACTURA No. 8731 CORRESPONDIENTE AL ME DE JULIO DE 2017</t>
  </si>
  <si>
    <t>AUTORIZACION PAGO 24 CONTRATO 250 DE 2015 LINEA H. FACTURA No.8789 CORRESPONDIENTE AL ME DE AGOSTO DE 2017</t>
  </si>
  <si>
    <t>CONTRATO No. 089 DE 2016 ALEJANDRA MEJIA HERNANDEZ</t>
  </si>
  <si>
    <t>AUTORIZACIÓN DE PAGO 1 DEL CONTRATO 089 DE 2016 - 04/02/2016 AL 03/03/2016 - LINEA H.</t>
  </si>
  <si>
    <t>AUTORIZACION DEL PAGO 2 DEL CONTRATO 089 DE 2016 - 04/03/2016 AL 03/04/2016 - LINEA H.</t>
  </si>
  <si>
    <t>AUTORIZACION DE PAGO 3 DEL CONTRATO 089 DE 2016 - 04/04/2016 AL 03/05/2016 -LINEA H</t>
  </si>
  <si>
    <t>AUTORIZACION DE PAGO 4 DEL CONTRATO 089 DE 2016 - 04/05/2016 AL 03/06/2016 -LINEA H</t>
  </si>
  <si>
    <t>AUTORIZACIÓN DE PAGO 5 DEL CONTRATO 089 DE 2016 - 04/06/2016 AL 03/07/2016 -LINEA H</t>
  </si>
  <si>
    <t>AUTORIZACION DE PAGO 6 DEL CONTRATO 089 DE 2016 - 04/07/2016 AL 03/08/2016 -LINEA H</t>
  </si>
  <si>
    <t>AUTORIZACIÓN DE PAGO 7 DEL CONTRATO 089 DE 2016 - 04/08/2016 AL 03/09/2016 -LINEA H</t>
  </si>
  <si>
    <t>AUTORIZACION DE PAGO 8 DEL CONTRATO 089 DE 2016 - 04/09/2016 AL 03/10/2016 -LINEA H</t>
  </si>
  <si>
    <t>AUTORIZACIÓN DE PAGO 9 DEL CONTRATO 089 DE 2016 - 04/10/2016 AL 03/11/2016 -LINEA H</t>
  </si>
  <si>
    <t>AUTORIZACION DE PAGO 10 DEL CONTRATO 089 DE 2016 - 04/11/2016 AL 03/12/2016 -LINEA H</t>
  </si>
  <si>
    <t>AUTORIZACION DE PAGO 11 DEL CONTRATO 089 DE 2016 - 04/12/2016 AL 31/12/2016 -LINEA H</t>
  </si>
  <si>
    <t>CONVENIO 226/2016 CONFERENCIA INTERAMERICANA DE SEGURIDAD SOCIAL CISS</t>
  </si>
  <si>
    <t>AUTORIZACIÓN DE PAGO 1 Y 2 CONVENIO 226  DE 2015. LINEA A.</t>
  </si>
  <si>
    <t>AUTORIZACION DEL PAGO 3 DEL CONVENIO 226 DE 2015. LINEA A.</t>
  </si>
  <si>
    <t>CONTRATO No. 105 DE 2016 YEZID FERNANDO NIÑO BARRETO</t>
  </si>
  <si>
    <t>AUTORIZACIÓN DE PAGO 1 DEL CONTRATO 105 DE 2016 - 05/02/2016 AL 04/03/2016 - LINEA C.</t>
  </si>
  <si>
    <t>AUTORIZACION DE PAGO 2 DEL CONTRATO 105 DE 2016 - 05/03/2016 AL 04/04/2016 - LINEA C.</t>
  </si>
  <si>
    <t>AUTORIZACION DE PAGO 3 DEL CONTRATO 105 DE 2016 - 05/04/2016 AL 04/05/2016 - LINEA C.</t>
  </si>
  <si>
    <t>AUTORIZACION DE PAGO 1 DEL CONTRATO 105 DE 2016 - POR DESPLAZAMIENTO- LINEA C.</t>
  </si>
  <si>
    <t>AUTORIZACION DE PAGO 4 DEL CONTRATO 105 DE 2016 - 05/05/2016 AL 04/06/2016 - LINEA C.</t>
  </si>
  <si>
    <t>AUTORIZACION DE PAGO 5 DEL CONTRATO 105 DE 2016 - 05/06/2016 AL 04/07/2016 -LINEA C</t>
  </si>
  <si>
    <t>DEVOLUCION RETENCION EN LA FUENTE MAYOR VALOR PRACTICADO</t>
  </si>
  <si>
    <t>DEVOLUCION RETENCION ICA MAYOR VALOR PRACTICADO</t>
  </si>
  <si>
    <t>AUTORIZACION DE PAGO 2 DEL CONTRATO 105 DE 2016 - POR DESPLAZAMIENTO- LINEA C.</t>
  </si>
  <si>
    <t>AUTORIZACION DE PAGO 6 DEL CONTRATO 105 DE 2016 - 05/07/2016 AL 04/08/2016 -LINEA C</t>
  </si>
  <si>
    <t>AUTORIZACION DE PAGO 3 DEL CONTRATO 105 DE 2016 - POR DESPLAZAMIENTO- LINEA C. SE MENCIONA QUE ESTE PAGO NO SE LE DEBEN HACER RETENCIONES DE ACUERDO AL CONCEPTO TRIBUTARIO - SE ADJUNTA CONTRATO</t>
  </si>
  <si>
    <t>AUTORIZACION DE PAGO 7 DEL CONTRATO 105 DE 2016 - 05/08/2016 AL 04/09/2016 -LINEA C</t>
  </si>
  <si>
    <t>AUTORIZACION DE PAGO 8 DEL CONTRATO 105 DE 2016 - 05/09/2016 AL 04/10/2016 -LINEA C</t>
  </si>
  <si>
    <t>AUTORIZACIÓN DE PAGO 9 DEL CONTRATO 105 DE 2016 - 05/10/2016 AL 04/11/2016 -LINEA C</t>
  </si>
  <si>
    <t>AUTORIZACION DE PAGO 10 DEL CONTRATO 105 DE 2016 - 05/11/2016 AL 04/12/2016 -LINEA C</t>
  </si>
  <si>
    <t>AUTORIZACION DE PAGO 11 DEL CONTRATO 105 DE 2016 - 05/12/2016 AL 31/12/2016 -LINEA C</t>
  </si>
  <si>
    <t>CONTRATO / 071 DE 2016 VANEGAS GONZALEZ MAYURY</t>
  </si>
  <si>
    <t>AUTORIZACION DEL PAGO 1 DEL CONTRATO 071 DE 2016 - DEL 04/02/2016 AL 03/03/2016. LINEA C.</t>
  </si>
  <si>
    <t>AUTORIZACION DEL PAGO 2 DEL CONTRATO 071 DE 2016 - DEL 04/03/2016 AL 03/04/2016. LINEA C.</t>
  </si>
  <si>
    <t>AUTORIZACION DEL PAGO 3 DEL CONTRATO 071 DE 2016 - DEL 04/04/2016 AL 03/05/2016. LINEA C.</t>
  </si>
  <si>
    <t>AUTORIZACION DEL PAGO 4 DEL CONTRATO 071 DE 2016 - DEL 04/05/2016 AL 03/06/2016. LINEA C.</t>
  </si>
  <si>
    <t>AUTORIZACIÓN DEL PAGO 5 DEL CONTRATO 071 DE 2016 - DEL 04/06/2016 AL 03/07/2016. LINEA C.</t>
  </si>
  <si>
    <t>AUTORIZACION DEL PAGO 6 DEL CONTRATO 071 DE 2016 - DEL 04/07/2016 AL 03/08/2016. LINEA C.</t>
  </si>
  <si>
    <t>AUTORIZACION DEL PAGO 7 DEL CONTRATO 071 DE 2016 - DEL 04/08/2016 AL 03/09/2016. LINEA C.</t>
  </si>
  <si>
    <t>AUTORIZACIÓN DEL PAGO 8 DEL CONTRATO 071 DE 2016. DEL 04/09/2016 AL 03/10/2016. LINEA C.</t>
  </si>
  <si>
    <t>AUTORIZACION DEL PAGO 9 DEL CONTRATO 071 DE 2016. DEL 04/010/2016 AL 03/11/2016. LINEA C.</t>
  </si>
  <si>
    <t>AUTORIZACION DEL PAGO 10 DEL CONTRATO 071 DE 2016. DEL 04/11/2016 AL 03/12/2016. LINEA C.</t>
  </si>
  <si>
    <t>AUTORIZACION DEL PAGO 11 DEL CONTRATO 071 DE 2016. DEL 04/12/2016 AL 31/12/2016. LINEA C.</t>
  </si>
  <si>
    <t>CONTRATO No. 178 - 2016 DAGOBERTO  GOMEZ CONDE</t>
  </si>
  <si>
    <t>AUTORIZACION DE GIRO 1 CONTRATO 178 DE 2016 LINEA C.</t>
  </si>
  <si>
    <t>AUTORIZACION DEL PAGO 2 DEL CONTRATO 178 DE 2016 - DEL 10/04/2016 AL 09/05/2016. LINEA C.</t>
  </si>
  <si>
    <t>AUTORIZACION DEL PAGO 3 DEL CONTRATO 178 DE 2016 - DEL 10/05/2016 AL 09/06/2016. LINEA C.</t>
  </si>
  <si>
    <t>AUTORIZACION DEL PAGO 4 DEL CONTRATO 178 DE 2016 - DEL 10/06/2016 AL 09/07/2016. LINEA C.</t>
  </si>
  <si>
    <t>AUTORIZACION DEL PAGO 5 DEL CONTRATO 178 DE 2016 - DEL 10/07/2016 AL 09/08/2016. LINEA C.</t>
  </si>
  <si>
    <t>AUTORIZACION DEL PAGO 6 DEL CONTRATO 178 DE 2016 - DEL 10/08/2016 AL 09/09/2016. LINEA C.</t>
  </si>
  <si>
    <t>AUTORIZACIÓN DEL PAGO 7 DEL CONTRATO 178 DE 2016 - DEL 10/09/2016 AL 09/10/2016. LINEA C.</t>
  </si>
  <si>
    <t>AUTORIZACIÓN DE PAGO 1 DEL CONTRATO 178 DE 2016 - POR DESPLAZAMIENTO- LINEA C BENEFICIARIO DEL PAGO CUMPLE Y ANEXA LA DOCUMENTACIÓN PERTINENTE PARA NO APLICAR LA RETENCIÓN.</t>
  </si>
  <si>
    <t>AUTORIZACION DEL PAGO 8 DEL CONTRATO 178 DE 2016 - DEL 10/10/2016 AL 09/11/2016. LINEA C.</t>
  </si>
  <si>
    <t>AUTORIZACION DEL PAGO 9 DEL CONTRATO 178 DE 2016 - DEL 10/11/2016 AL 09/12/2016. LINEA C.</t>
  </si>
  <si>
    <t>AUTORIZACION DE PAGO 2 DEL CONTRATO 178 DE 2016 - POR DESPLAZAMIENTO- LINEA C BENEFICIARIO DEL PAGO CUMPLE Y ANEXA LA DOCUMENTACION PERTINENTE PARA NO APLICAR LA RETENCION.</t>
  </si>
  <si>
    <t>AUTORIZACION DEL PAGO 10 DEL CONTRATO 178 DE 2016 - DEL 10/12/2016 AL 24/12/2016. LINEA C.</t>
  </si>
  <si>
    <t>CONTRATO 177 DE 2016 LUIS ANGEL HERNANDEZ SABOGAL</t>
  </si>
  <si>
    <t>AUTORIZACION DE PAGO 1 DEL CONTRATO 177 DE 2016. DEL 10/03/16 AL 09/04/16. LINEA C.</t>
  </si>
  <si>
    <t>AUTORIZACION DE PAGO 2 DEL CONTRATO 177 DE 2016. DEL 10/04/16 AL 09/05/16. LINEA C.</t>
  </si>
  <si>
    <t>AUTORIZACIÓN DE PAGO 3 DEL CONTRATO 177 DE 2016 - DEL 10/05/2016 AL 09/06/2016. LINEA C</t>
  </si>
  <si>
    <t>AUTORIZACION DE PAGO 4 DEL CONTRATO 177 DE 2016 DEL 10/06/2016 AL 09/07/2016</t>
  </si>
  <si>
    <t>AUTORIZACION DEL PAGO 5 DEL CONTRATO 177 DE 2016 - DEL 10/07/2016 AL 09/08/2016. LINEA C</t>
  </si>
  <si>
    <t>AUTORIZACIÓN DEL PAGO 6 DEL CONTRATO 177 DE 2016 - DEL 10/08/2016 AL 09/09/2016. LINEA C</t>
  </si>
  <si>
    <t>AUTORIZACION DEL PAGO 7 DEL CONTRATO 177 DE 2016</t>
  </si>
  <si>
    <t>AUTORIZACION DEL PAGO 8 DEL CONTRATO 177 DE 2016 - DEL 10/10/2016 AL 09/11/2016. LINEA C</t>
  </si>
  <si>
    <t>AUTORIZACION DEL PAGO 9 DEL CONTRATO 177 DE 2016 - DEL 10/11/2016 AL 09/12/2016. LINEA C</t>
  </si>
  <si>
    <t>AUTORIZACION DEL PAGO 10 DEL CONTRATO 177 DE 2016 - DEL 10/12/2016 AL 24/12/2016. LINEA C</t>
  </si>
  <si>
    <t>CONTRATO No. 119 DE 2016 ARCHILA ESCORCIA LELIS DEL CARMEN</t>
  </si>
  <si>
    <t>AUTORIZACION DE PAGO 1 CONTRATO 119 DE 2016 - DEL 09-02-2016 AL 08-03-2016 - FACTURA 0106. LINEA E</t>
  </si>
  <si>
    <t>AUTORIZACION DE PAGO 2 CONTRATO 119 DE 2016 - DEL 09-03-2016 AL 08-04-2016 - FACTURA 0107. LINEA E. SE ACLARA QUE LA ORDEN DE GIRO ORIGINAL SE ENCUENTRA DONDE INFORMAN LOS PAGOS 1 Y 2 LOS CUALES SE DEBEN REALIZAR.</t>
  </si>
  <si>
    <t>AUTORIZACIÓN DE PAGO 3 CONTRATO 119 DE 2016 - DEL 09-04-2016 AL 08-05-2016 - FACTURA 0110. LINEA E.</t>
  </si>
  <si>
    <t>AUTORIZACION DE PAGO 4 CONTRATO 119 DE 2016 - DEL 09-05-2016 AL 08-06-2016 - FACTURA 0111. LINEA E. SE ACLARA QUE LA ORDEN DE GIRO ORIGINAL SE ENCUENTRA DONDE INFORMAN LOS PAGOS 3 Y 4 LOS CUALES SE DEBEN REALIZAR.</t>
  </si>
  <si>
    <t>AUTORIZACION DE PAGO 5 CONTRATO 119 DE 2016 - DEL 09-06-2016 AL 08-07-2016 - FACTURA 0112. LINEA E.</t>
  </si>
  <si>
    <t>AUTORIZACION DE PAGO 6 CONTRATO 119 DE 2016 - DEL 09-07-2016 AL 08-08-2016 - FACTURA 0113. LINEA E.  SE ACLARA QUE LA ORDEN EN ORIGINAL SE ECNUENTRA CON EL RADICADO 20160322314602 LA CUAL AUTORIZA EL 5 Y 6 DESEMBOLSO</t>
  </si>
  <si>
    <t>AUTORIZACION DE PAGO 7 CONTRATO 119 DE 2016 - DEL 09-08-2016 AL 08-09-2016 - FACTURA 0114. LINEA E.</t>
  </si>
  <si>
    <t>AUTORIZACIÓN DE PAGO 8 CONTRATO 119 DE 2016 - DEL 09-09-2016 AL 08-10-2016 - FACTURA 0115. LINEA E.</t>
  </si>
  <si>
    <t>AUTORIZACION DE PAGO 9 CONTRATO 119 DE 2016 - DEL 09-10-2016 AL 08-11-2016 - FACTURA 0116. LINEA E.</t>
  </si>
  <si>
    <t>AUTORIZACION DE PAGO 10 CONTRATO 119 DE 2016 - DEL 09-11-2016 AL 08-12-2016 - FACTURA 0116. LINEA E.</t>
  </si>
  <si>
    <t>AUTORIZACION DE PAGO 11 CONTRATO 119 DE 2016 - DEL 09-12-2016 AL 31-12-2016 - FACTURA 0118. LINEA E.</t>
  </si>
  <si>
    <t>CONTRATO No. 190 DE 2016 ROLANDO HIGUITA RODRIGUEZ</t>
  </si>
  <si>
    <t>AUTORIZACION DE PAGO 1 DEL CONTRATO 190 DE 2016 - DEL 31-03-16 AL 30-04-16 - LINEA A</t>
  </si>
  <si>
    <t>AUTORIZACION DEL PAGO 2 DEL CONTRATO 190 DE 2016 - DEL 01/05/2016 AL 30/05/2016. LINEA A.</t>
  </si>
  <si>
    <t>AUTORIZACION DEL PAGO 3 DEL CONTRATO 190 DE 2016 - DEL 31/05/2016 AL 30/06/2016. LINEA A.</t>
  </si>
  <si>
    <t>AUTORIZACION DEL PAGO 4 DEL CONTRATO 190 DE 2016 - DEL 01/07/2016 AL 30/07/2016. LINEA A. LAORDEN ORIGINAL SE ENCUENTRA CON EL RADICADO NUMERO 20160322678582</t>
  </si>
  <si>
    <t>AUTORIZACION DEL PAGO 5 DEL CONTRATO 190 DE 2016 - DEL 31/07/2016 AL 30/08/2016. LINEA A. LAORDEN ORIGINAL SE ENCUENTRA CON EL RADICADO NUMERO 20160322678582</t>
  </si>
  <si>
    <t>RESOLUCION 1838/16</t>
  </si>
  <si>
    <t>CONTRATO No. 191 DE 2016 CATALINA IRISARRI BOADA- CESAR AUGUSTO LIMA MUÑOZ</t>
  </si>
  <si>
    <t>AUTORIZACION DE PAGO 1 CONTRATO 191 DE 2016 - DEL 01/04/2016 AL 30/04/2016. LINEA C.</t>
  </si>
  <si>
    <t>AUTORIZACION DEL PAGO 2 DEL CONTRATO 191 DE 2016 - DEL 01/05/2016 AL 30/05/2016. LINEA C.</t>
  </si>
  <si>
    <t>AUTORIZACION DEL PAGO 3 DEL CONTRATO 191 DE 2016 - DEL 01/06/2016 AL 30/06/2016. LINEA C. LA CARTA ORIGINALA DE LA ORDEN DE PAGO SE ENCUENTRA CON EL RADICADO No. 20160322121772 CORRESPONDIENTE AL 2 GIRO</t>
  </si>
  <si>
    <t>AUTORIZACION DEL PAGO 1 DE CESION - GIRO 4 DEL CONTRATO 191 DE 2016 - DEL 01/07/2016 AL 31/07/2016. LINEA C.</t>
  </si>
  <si>
    <t>AUTORIZACION DEL PAGO 2 DE CESION - GIRO 5 DEL CONTRATO 191 DE 2016 - DEL 01/08/2016 AL 31/08/2016. LINEA C.</t>
  </si>
  <si>
    <t>AUTORIZACION DEL PAGO 3 DE CESION - GIRO 6 DEL CONTRATO 191 DE 2016 - DEL 01/09/2016 AL 30/09/2016. LINEA C.</t>
  </si>
  <si>
    <t>AUTORIZACION DEL PAGO 4 DE CESION - GIRO 7 DEL CONTRATO 191 DE 2016 - DEL 01/10/2016 AL 31/10/2016. LINEA C.</t>
  </si>
  <si>
    <t>AUTORIZACION DEL PAGO 5 DE CESION - GIRO 8 DEL CONTRATO 191 DE 2016 - DEL 01/11/2016 AL 30/11/2016. LINEA C.</t>
  </si>
  <si>
    <t>AUTORIZACION DEL PAGO 6 DE CESION - GIRO 9 DEL CONTRATO 191 DE 2016 - DEL 01/12/2016 AL 31/12/2016. LINEA C.</t>
  </si>
  <si>
    <t>CONTRATO 195/2016  MYRIAM CLARET DUEÑAS MEZA</t>
  </si>
  <si>
    <t>AUTORIZACION DEL PAGO 1 DEL CONTRATO 195 DE 2016 - DEL 13/04/2016 AL 13/05/2016. LINEA C.</t>
  </si>
  <si>
    <t>AUTORIZACION DEL PAGO 2 DEL CONTRATO 195 DE 2016 - DEL 13/05/2016 AL 12/06/2016. LINEA C.</t>
  </si>
  <si>
    <t>AUTORIZACION DEL PAGO 3 DEL CONTRATO 195 DE 2016 - DEL 13/06/2016 AL 12/07/2016. LINEA C.</t>
  </si>
  <si>
    <t>AUTORIZACION DEL PAGO 4 DEL CONTRATO 195 DE 2016 - DEL 13/07/2016 AL 12/08/2016. LINEA C.</t>
  </si>
  <si>
    <t>AUTORIZACION DEL PAGO 5 DEL CONTRATO 195 DE 2016 - DEL 13/08/2016 AL 12/09/2016. LINEA C.</t>
  </si>
  <si>
    <t>AUTORIZACION DEL PAGO 6 DEL CONTRATO 195 DE 2016 - DEL 13/09/2016 AL 12/10/2016. LINEA C.</t>
  </si>
  <si>
    <t>AUTORIZACION DEL PAGO 7 DEL CONTRATO 195 DE 2016 - DEL 13/10/2016 AL 12/11/2016. LINEA C.</t>
  </si>
  <si>
    <t>AUTORIZACIÓN DEL PAGO 8 DEL CONTRATO 195 DE 2016 - DEL 13/11/2016 AL 12/12/2016. LINEA C.</t>
  </si>
  <si>
    <t>AUTORIZACION DEL PAGO 9 DEL CONTRATO 195 DE 2016 - DEL 13/12/2016 AL 31/12/2016. LINEA C.</t>
  </si>
  <si>
    <t>CONTRATO 256 /2016  GIOVANNI ALEXANDER QUINTERO RAMIREZ</t>
  </si>
  <si>
    <t>AUTORIZACION DE PAGO 1 DEL CONTRATO 256 DE 2016 -DEL 27/07/2016 AL 26/08/2016  LINEA A</t>
  </si>
  <si>
    <t>AUTORIZACION DE PAGO 1 DEL CONTRATO 256 DE 2016 - POR DESPLAZAMIENTO- LINEA A</t>
  </si>
  <si>
    <t>AUTORIZACIÓN DE PAGO 2 DEL CONTRATO 256 DE 2016 - POR DESPLAZAMIENTO- LINEA A</t>
  </si>
  <si>
    <t>AUTORIZACIÓN DE PAGO 2 DEL CONTRATO 256 DE 2016 -DEL 27/08/2016 AL 26/09/2016  LINEA A</t>
  </si>
  <si>
    <t>DEVOLUCION DE RECURSOS POR RETENCION EN LA FUENTE MAYOR VALOR PRACTICADO POR CONCEPTO ICA</t>
  </si>
  <si>
    <t>DEV-IMP-7642</t>
  </si>
  <si>
    <t>DEV-IMP-7742 POR RTEFTE</t>
  </si>
  <si>
    <t>DEVOLUCIÓN POR RETENCIÓN EN LA FUENTE MAYOR VALOR PRACTICADO CONCEPTO ICA</t>
  </si>
  <si>
    <t>DEV-IMP-8292</t>
  </si>
  <si>
    <t>AUTORIZACION DE PAGO 3 DEL CONTRATO 256 DE 2016 -DEL 27/09/2016 AL 26/10/2016  LINEA A</t>
  </si>
  <si>
    <t>AUTORIZACIÓN DE PAGO 3 DEL CONTRATO 256 DE 2016 - POR DESPLAZAMIENTO- LINEA A BENEFICIARIO DEL PAGO CUMPLE Y ANEXA LA DOCUMENTACIÓN PERTINENTE PARA NO APLICAR LA RETENCIÓN.- NO SUMAR PARA BASE RETENCION CON HONORARIOS</t>
  </si>
  <si>
    <t>AUTORIZACION DE PAGO 4 DEL CONTRATO 256 DE 2016 -DEL 27/10/2016 AL 26/11/2016  LINEA A</t>
  </si>
  <si>
    <t>AUTORIZACIÓN DE PAGO 4 DEL CONTRATO 256 DE 2016 - POR DESPLAZAMIENTO- LINEA A BENEFICIARIO DEL PAGO CUMPLE Y ANEXA LA DOCUMENTACIÓN PERTINENTE PARA NO APLICAR LA RETENCION.</t>
  </si>
  <si>
    <t>AUTORIZACION DE PAGO 5 DEL CONTRATO 256 DE 2016 - PERIODO 27/11/2016 AL 26/12/2016</t>
  </si>
  <si>
    <t>AUTORIZACIÓN DE PAGO 5 DEL CONTRATO 256 DE 2016 - POR DESPLAZAMIENTO- LINEA A  BENEFICIARIO DEL PAGO CUMPLE Y ANEXA LA DOCUMENTACIÓN PERTINENTE PARA NO APLICAR LA RETENCIÓN.</t>
  </si>
  <si>
    <t>AUTORIZACION DE PAGO 6 DEL CONTRATO 256 DE 2016 - PERIODO 27/12/2016 AL 31/12/2016</t>
  </si>
  <si>
    <t>CONTRATO 257 /2016  FUNDACION AVE FENIX</t>
  </si>
  <si>
    <t>AUTORIZACION DE PAGO 1 DEL CONTRATO 257 DE 2016 - LINEA A</t>
  </si>
  <si>
    <t>AUTORIZACIÓN DE PAGO 2 DEL CONTRATO 257 DE 2016 - LINEA A</t>
  </si>
  <si>
    <t>AUTORIZACION DE PAGO 3 DEL CONTRATO 257 DE 2016 - LINEA A</t>
  </si>
  <si>
    <t>AUTORIZACION DE PAGO 4 DEL CONTRATO 257 DE 2016 - LINEA A</t>
  </si>
  <si>
    <t>CONTRATO 276 /2016  DIOSA ISABEL RICO GARCIA</t>
  </si>
  <si>
    <t>AUTORIZACION DEL PAGO 1 DEL CONTRATO 276 DE 2016 - DEL 12/08/2016 AL 11/09/2016. LINEA A</t>
  </si>
  <si>
    <t>AUTORIZACION DEL PAGO 2 DEL CONTRATO 276 DE 2016 - DEL 12/09/2016 AL 10/09/2016. LINEA C</t>
  </si>
  <si>
    <t>AUTORIZACION DEL PAGO 3 DEL CONTRATO 276 DE 2016 - DEL 12/10/2016 AL 11/11/2016. LINEA C</t>
  </si>
  <si>
    <t>AUTORIZACION DEL PAGO 4 DEL CONTRATO 276 DE 2016 - DEL 12/11/2016 AL 11/12/2016. LINEA C</t>
  </si>
  <si>
    <t>AUTORIZACION DEL PAGO 5 DEL CONTRATO 276 DE 2016 - DEL 12/12/2016 AL 26/12/2016. LINEA C</t>
  </si>
  <si>
    <t xml:space="preserve">CONTRATO 264 /2016  BEATRIZ MARIA HENRIQUEZ VEGA </t>
  </si>
  <si>
    <t>AUTORIZACION DE PAGO 1 CONTRATO 264 DE 2016 - DEL 02-08-2016 AL 01-09-2016 - LINEA C.</t>
  </si>
  <si>
    <t>AUTORIZACION DE PAGO 1 CONTRATO 264 DE 2016 - POR DESPLAZAMIENTO - LINEA C.</t>
  </si>
  <si>
    <t>AUTORIZACION DE PAGO 2 CONTRATO 264 DE 2016 - DEL 02-09-2016 AL 01-10-2016 - LINEA C.</t>
  </si>
  <si>
    <t>AUTORIZACIÓN DE PAGO 2 DEL CONTRATO 264 DE 2016 - POR DESPLAZAMIENTO- LINEA C. SE MENCIONA QUE A ESTE PAGO NO SE LE DEBEN HACER RETENCIONES DE ACUERDO AL CONCEPTO TRIBUTARIO - SE ADJUNTA CONTRATO</t>
  </si>
  <si>
    <t>AUTORIZACION DE PAGO 3 CONTRATO 264 DE 2016- DEL 02-10-2016 AL 01-11-2016 - LINEA C</t>
  </si>
  <si>
    <t>DEVOLUCION-IMP-7442</t>
  </si>
  <si>
    <t>DEVOLUCIÓN RTE FTE HONORARIOS</t>
  </si>
  <si>
    <t>AUTORIZACION DE PAGO 4 CONTRATO 264 DE 2016 - DEL 02-11-2016 AL 01-12-2016 - LINEA C.</t>
  </si>
  <si>
    <t>AUTORIZACIÓN DE PAGO 5 CONTRATO 264 DE 2016 - DEL 02-12-2016 AL 31-12-2017 - LINEA C.</t>
  </si>
  <si>
    <t>CONTRATO 253 /2016  EDGAR ANDRES GOMEZ LOPEZ</t>
  </si>
  <si>
    <t>AUTORIZACION DEL PAGO 2 DEL CONTRATO 253 DE 2016 - DEL 25/08/2016 AL 24/09/2016. LINEA H.</t>
  </si>
  <si>
    <t>AUTORIZACIÓN DEL PAGO 3 DEL CONTRATO 253 DE 2016 - DEL 25/09/2016 AL 24/10/2016. LINEA H.</t>
  </si>
  <si>
    <t>AUTORIZACIÓN DEL PAGO 4 DEL CONTRATO 253 DE 2016 - DEL 25/10/2016 AL 24/11/2016. LINEA H.</t>
  </si>
  <si>
    <t>AUTORIZACIÓN DEL PAGO 5 DEL CONTRATO 253 DE 2016 - DEL 25/11/2016 AL 16/12/2016. LINEA H.</t>
  </si>
  <si>
    <t>AUTORIZACIÓN DEL PAGO 6 DEL CONTRATO 253 DE 2016 - DEL 25/12/2016 AL 31/12/2016. LINEA H.</t>
  </si>
  <si>
    <t>CONTRATO 293 /2016  ALEXIS  LOPEZ ROMERO</t>
  </si>
  <si>
    <t>AUTORIZACION DE PAGO 1 DEL CONTRATO 293 DE 2016 - DEL  22/08/2016 AL 21/09/2016. LINEA A</t>
  </si>
  <si>
    <t>AUTORIZACIÓN DE PAGO 2 DEL CONTRATO 293 DE 2016 - DEL  22/09/2016 AL 21/10/2016. LINEA A</t>
  </si>
  <si>
    <t>AUTORIZACIÓN DE PAGO 1 DEL CONTRATO 293 DE 2016 -  POR DESPLAZAMIENTO. LINEA A - SE MENCIONA QUE ESTE PAGO NO SE LE DEBEN HACER RETENCIONES DE ACUERDO AL CONCEPTO TRIBUTARIO - SE ADJUNTA CONTRATO</t>
  </si>
  <si>
    <t>AUTORIZACION DE PAGO 3 DEL CONTRATO 293 DE 2016 - DEL  22/10/2016 AL 21/11/2016. LINEA A</t>
  </si>
  <si>
    <t>AUTORIZACION DE PAGO 4 DEL CONTRATO 293 DE 2016 - DEL  22/11/2016 AL 16/12/2016. LINEA A</t>
  </si>
  <si>
    <t>AUTORIZACIÓN DE PAGO 5 DEL CONTRATO 293 DE 2016 - DEL  17/12/2016 AL 31/12/2016. LINEA A</t>
  </si>
  <si>
    <t>CONTRATO 274 /2016  ANGIE LIZETH RODRIGUEZ FAJARDO</t>
  </si>
  <si>
    <t>AUTORIZACION DE PAGO 1 DEL CONTRATO 274 DE 2016 - DEL  22/08/2016 AL 21/09/2016. LINEA A</t>
  </si>
  <si>
    <t>AUTORIZACIÓN PAGO 2 DEL CONTRATO 274 DE 2016. LINEA A.</t>
  </si>
  <si>
    <t>AUTORIZACION PAGO 3 DEL CONTRATO 274 DE 2016 DEL 16/10/2016 AL 15/11/2016. LINEA A.</t>
  </si>
  <si>
    <t>AUTORIZACION PAGO 4 DEL CONTRATO 274 DE 2016 DEL 16/11/2016 AL 15/12/2016. LINEA A.</t>
  </si>
  <si>
    <t>AUTORIZACIÓN PAGO 5 DEL CONTRATO 274 DE 2016 DEL 16/12/2016 AL 31/12/2016. LINEA A.</t>
  </si>
  <si>
    <t>CONTRATO 297 /2016  FELIPE  CHAVES MARTINEZ</t>
  </si>
  <si>
    <t>AUTORIZACION DE PAGO 1 DEL CONTRATO 297 DE 2016 - DEL  22/08/2016 AL 21/09/2016. LINEA A</t>
  </si>
  <si>
    <t>AUTORIZACIÓN DE PAGO 2 DEL CONTRATO 297 DE 2016 - DEL  22/09/2016 AL 21/10/2016. LINEA A</t>
  </si>
  <si>
    <t>AUTORIZACION DE PAGO 3 DEL CONTRATO 297 DE 2016 - DEL  22/10/2016 AL 21/11/2016. LINEA A</t>
  </si>
  <si>
    <t>AUTORIZACIÓN DE PAGO 4 DEL CONTRATO 297 DE 2016 - DEL  22/11/2016 AL 21/12/2016. LINEA A</t>
  </si>
  <si>
    <t>AUTORIZACIÓN DE PAGO 5 DEL CONTRATO 297 DE 2016 - DEL  22/12/2016 AL 31/12/2016. LINEA A</t>
  </si>
  <si>
    <t>CONTRATO 283 /2016  GLORIA ELENA PASTOR ORTIZ</t>
  </si>
  <si>
    <t>AUTORIZACION PAGO 1 DEL CONTRATO 283 DE 2016. LINEA H.</t>
  </si>
  <si>
    <t>AUTORIZACIÓN PAGO 2 DEL CONTRATO 283 DE 2016 - DEL  17/09/2016 AL 16/10/2016. LINEA H</t>
  </si>
  <si>
    <t>AUTORIZACION DE PAGO 3 DEL CONTRATO 283 DE 2016 - DEL  17/10/2016 AL 16/11/2016. LINEA H</t>
  </si>
  <si>
    <t>AUTORIZACION DE PAGO 4 DEL CONTRATO 283 DE 2016 - DEL  17/11/2016 AL 16/12/2016. LINEA h</t>
  </si>
  <si>
    <t>AUTORIZACION DE PAGO 5 DEL CONTRATO 283 DE 2016 - DEL  17/12/2016 AL 29/12/2016. LINEA H</t>
  </si>
  <si>
    <t>CONTRATO 255 /2016  LINA MARIA GUTIERREZ VASQUEZ</t>
  </si>
  <si>
    <t>AUTORIZACION DE PAGO 1 DEL CONTRATO 255 DE 2016 - DEL  26/07/2016 AL 25/08/2016. LINEA A</t>
  </si>
  <si>
    <t>AUTORIZACIÓN DE PAGO 2 DEL CONTRATO 255 DE 2016 - DEL  26/08/2016 AL 25/09/2016. LINEA A</t>
  </si>
  <si>
    <t>AUTORIZACIÓN DE PAGO 3 DEL CONTRATO 255 DE 2016 - DEL  26/09/2016 AL 25/10/2016. LINEA A</t>
  </si>
  <si>
    <t>AUTORIZACION DE PAGO 4 DEL CONTRATO 255 DE 2016 - DEL  26/10/2016 AL 25/11/2016. LINEA A</t>
  </si>
  <si>
    <t>CONTRATO 272 /2016  MARY ANDREA DAVILA ACEVEDO</t>
  </si>
  <si>
    <t>AUTORIZACION DE PAGO 1 DEL CONTRATO 272 DE 2016 - DEL  10/08/2016 AL 09/09/2016. LINEA C</t>
  </si>
  <si>
    <t>AUTORIZACION DE PAGO 2 DEL CONTRATO 272 DE 2016 - DEL  10/09/2016 AL 09/10/2016. LINEA C</t>
  </si>
  <si>
    <t>AUTORIZACION DE PAGO 3 DEL CONTRATO 272 DE 2016 - DEL  10/10/2016 AL 09/11/2016. LINEA C</t>
  </si>
  <si>
    <t>AUTORIZACIÓN DE PAGO 4 DEL CONTRATO 272 DE 2016 - DEL  10/11/2016 AL 09/12/2016. LINEA C</t>
  </si>
  <si>
    <t>CONVENIO 364 /2016  ORGANIZACION IBEROAMERICANA DE SEGURIDAD</t>
  </si>
  <si>
    <t>AUTORIZACIÓN DEL PAGO 1 DEL CONVENIO DE COOPERACIÓN 364 DE  2016. LINEA B</t>
  </si>
  <si>
    <t>AUTORIZACIÓN DEL PAGO 2 DEL CONVENIO DE COOPERACIÓN 364 DE  2016. LINEA B</t>
  </si>
  <si>
    <t>AUTORIZACIÓN DEL PAGO 3 DEL CONVENIO DE COOPERACIÓN 364 DE  2016. LINEA B - HONORARIOS</t>
  </si>
  <si>
    <t>CONTRATO 298 /2016  SUSANA PATRICIA LOPEZ MOLINA</t>
  </si>
  <si>
    <t>AUTORIZACION DE PAGO 1 DEL CONTRATO 298 DE 2016 - DEL  22/08/2016 AL 21/09/2016. LINEA G</t>
  </si>
  <si>
    <t>AUTORIZACION DE PAGO 2 DEL CONTRATO 298 DE 2016 - DEL  22/09/2016 AL 21/09/2016. LINEA G</t>
  </si>
  <si>
    <t>AUTORIZACION DE PAGO 3 DEL CONTRATO 298 DE 2016 - DEL  22/10/2016 AL 21/10/2016. LINEA G</t>
  </si>
  <si>
    <t>AUTORIZACIÓN DE PAGO 4 DEL CONTRATO 298 DE 2016 - DEL  22/11/2016 AL 21/12/2016. LINEA G</t>
  </si>
  <si>
    <t>AUTORIZACION DE PAGO 5 DEL CONTRATO 298 DE 2016 - DEL  22/12/2016 AL 31/12/2016. LINEA G</t>
  </si>
  <si>
    <t>CONTRATO 275 /2016  WILLIAM ALEJANDRO RIVERA CAMERO</t>
  </si>
  <si>
    <t>AUTORIZACIÓN DE PAGO 1 DEL CONTRATO 275 DE 2016 - DEL  12/08/2016 AL 11/09/2016. LINEA E</t>
  </si>
  <si>
    <t>AUTORIZACIÓN DE PAGO 2 DEL CONTRATO 275 DE 2016 - DEL  12/09/2016 AL 11/10/2016. LINEA E</t>
  </si>
  <si>
    <t>AUTORIZACION DE PAGO 3 DEL CONTRATO 275 DE 2016 - DEL  12/10/2016 AL 11/11/2016. LINEA E</t>
  </si>
  <si>
    <t>AUTORIZACION DE PAGO 4 DEL CONTRATO 275 DE 2016 - DEL  12/11/2016 AL 11/12/2016. LINEA E</t>
  </si>
  <si>
    <t>AUTORIZACION DE PAGO 5 DEL CONTRATO 275 DE 2016 - DEL  12/12/2016 AL 31/12/2016. LINEA E</t>
  </si>
  <si>
    <t>CARTA ACUERDO 383/2016  ORGANIZACIÓN INTERNACIONAL DEL TRABAJO</t>
  </si>
  <si>
    <t>AUTORIZACION DE PAGO 1 DE LA CARTA ACUERDO 383 DE 2016 REALIZAR LINEA DE AJUSTE NEGATIVA POR VALOR DE $ 12,95 Y AFECTAR CLAVE CONTABLE 413535001 INGRESO POR DIFERENCIA DE CAMBIO</t>
  </si>
  <si>
    <t>AUTORIZACION DE PAGO 2 DE LA CARTA ACUERDO 383 DE 2016 REALIZAR LINEA DE AJUSTE NEGATIVA POR VALOR DE $ 19 Y AFECTAR CLAVE CONTABLE 413535001 INGRESO POR DIFERENCIA DE CAMBIO</t>
  </si>
  <si>
    <t>AUTORIZACION DE PAGO 3 DE LA CARTA ACUERDO 383 DE 2016 REALIZAR LINEA DE AJUSTE NEGATIVA POR VALOR DE $ 3,80 Y AFECTAR CLAVE CONTABLE 413535001 INGRESO POR DIFERENCIA DE CAMBIO.</t>
  </si>
  <si>
    <t>CONTRATO 387 /2016  ANDRES FELIPE OVIEDO CIFUENTES</t>
  </si>
  <si>
    <t>AUTORIZACIÓN DE PAGO 1 DEL CONTRATO 387 DE 2016 -  DEL  19/10/2016 AL 18/11/2016. LINEA E</t>
  </si>
  <si>
    <t>AUTORIZACION DE PAGO 2 DEL CONTRATO 387 DE 2016 -  DEL  19/11/2016 AL 18/12/2016. LINEA E</t>
  </si>
  <si>
    <t>AUTORIZACION DE PAGO 3 DEL CONTRATO 387 DE 2016 -  DEL  19/12/2016 AL 31/12/2016. LINEA E</t>
  </si>
  <si>
    <t>CONTRATO 350 /2016  CLAUDIA KATHARINA RIVEROS BEECK</t>
  </si>
  <si>
    <t>AUTORIZACION DE PAGO 1 DEL CONTRATO 350 DE 2016 -  DEL  26/09/2016 AL 25/10/2016. LINEA A</t>
  </si>
  <si>
    <t>AUTORIZACION DE PAGO 2 DEL CONTRATO 350 DE 2016 -  DEL  26/10/2016 AL 25/11/2016. LINEA A</t>
  </si>
  <si>
    <t>AUTORIZACION DE PAGO 3 DEL CONTRATO 350 DE 2016 -  DEL  26/12/2016 AL 31/12/2016. LINEA A</t>
  </si>
  <si>
    <t>AUTORIZACION DE PAGO 4 DEL CONTRATO 350 DE 2016 -  DEL  26/12/2016 AL 31/12/2016. LINEA A</t>
  </si>
  <si>
    <t>CONVENIO No. 354 DE 2016 CAMARA REGIONAL DE LA CONSTRUCCION DE BOGOTA</t>
  </si>
  <si>
    <t>AUTORIZACION DE PAGO 1 DEL CONTRATO 354 DE 2016 - FACTURA No 35569  LINEA B</t>
  </si>
  <si>
    <t>AUTORIZACION DE PAGO 2 DEL CONTRATO 354 DE 2016 - FACTURA No 36308  LINEA B</t>
  </si>
  <si>
    <t>AUTORIZACION DE PAGO 3 DEL CONTRATO 354 DE 2016 - FACTURA No 36309 LINEA B</t>
  </si>
  <si>
    <t>CONTRATO 388 /2016  GUILLERMO EDUARDO RAFAEL LOMBANA</t>
  </si>
  <si>
    <t>AUTORIZACION DE PAGO 1 DEL CONTRATO 388 DE 2016 - 21/10/2016 AL 20/11/2016 -LINEA A</t>
  </si>
  <si>
    <t>AUTORIZACIÓN DE PAGO 2 DEL CONTRATO 388 DE 2016 - 21/11/2016 AL 20/12/2016 -LINEA A</t>
  </si>
  <si>
    <t>DEV IMPUESTO RETEFTE HONORARIOS</t>
  </si>
  <si>
    <t>AUTORIZACION DE PAGO 3 DEL CONTRATO 388 DE 2016 - 21/12/2016 AL 31/12/2016 -LINEA A</t>
  </si>
  <si>
    <t>AUTORIZACION DE PAGO 4 DEL CONTRATO 388 DE 2016 - -LINEA A</t>
  </si>
  <si>
    <t>AUTORIZACION DE PAGO 5 DEL CONTRATO 388 DE 2016 - -LINEA A</t>
  </si>
  <si>
    <t>AUTORIZACION DE PAGO 6 CONTRATO 388 DE 2017 - DEL 01 AL 10-05-2017 .</t>
  </si>
  <si>
    <t>CONVENIO 353 /2016  FUNDACION NUEVO HORIZONTE</t>
  </si>
  <si>
    <t>AUTORIZACION DE PAGO 1 DEL CONTRATO 353 DE 2016 - FACTURA No 0138  LINEA B</t>
  </si>
  <si>
    <t>AUTORIZACION DE PAGO 2 DEL CONTRATO 353 DE 2016 - FACTURA No 0154  LINEA B</t>
  </si>
  <si>
    <t>AUTORIZACION DE PAGO 3 DEL CONTRATO 353 DE 2016 - FACTURA No 0157  LINEA B</t>
  </si>
  <si>
    <t>CONVENIO 405 /2016  CORPORACION TALENTUM</t>
  </si>
  <si>
    <t>AUTORIZACIÓN DE PAGO 1 DEL CONVENIO 405 DE 2016 - FACTURA No 1001  LINEA F</t>
  </si>
  <si>
    <t>AUTORIZACIÓN DE PAGO 2 DEL CONVENIO 405 DE 2016 - FACTURA No 1012 LINEA F</t>
  </si>
  <si>
    <t>CONTRATO 406 /2016  SOL MYRIAM HERNANDEZ SANDOBAL</t>
  </si>
  <si>
    <t>AUTORIZACIÓN DEL PAGO 1 DEL CONTRATO 406 DE 2016 - DEL 15/11/2016 AL 14/12/2016. LINEA A</t>
  </si>
  <si>
    <t>AUTORIZACIÓN DEL PAGO 2 DEL CONTRATO 406 DE 2016 - DEL 15/12/2016 AL 31/12/2016. LINEA A</t>
  </si>
  <si>
    <t xml:space="preserve">SALDOS LIEBRADOS </t>
  </si>
  <si>
    <t>CONTRATO 035 /2017  ALEXIS  LOPEZ ROMERO</t>
  </si>
  <si>
    <t>AUTORIZACION DE PAGO 1 DEL CONTRATO 035 DE 2017 - DEL  24/01/2017 AL 23/02/2017. LINEA A</t>
  </si>
  <si>
    <t>AUTORIZACION DE PAGO 2 DEL CONTRATO 035 DE 2017 - DEL  24/02/2017 AL 23/03/2017. LINEA A</t>
  </si>
  <si>
    <t>AUTORIZACIÓN DE PAGO 3 DEL CONTRATO 035 DE 2017 - DEL  24/03/2017 AL 23/04/2017. LINEA A - HONORARIOS</t>
  </si>
  <si>
    <t>AUTORIZACION DE PAGO 4 DEL CONTRATO 035 DE 2017 - DEL  24/04/2017 AL 23/05/2017. LINEA A - HONORARIOS</t>
  </si>
  <si>
    <t>AUTORIZACION DE PAGO 5 DEL CONTRATO 035 DE 2017 - DEL  24/05/2017 AL 23/06/2017. LINEA A - HONORARIOS</t>
  </si>
  <si>
    <t>AUTORIZACION DE PAGO 6 DEL CONTRATO 035 DE 2017 - DEL  24/06/2017 AL 23/07/2017. LINEA A - HONORARIOS</t>
  </si>
  <si>
    <t>AUTORIZACION DE PAGO 7 DEL CONTRATO 035 DE 2017 - DEL  24/07/2017 AL 23/08/2017. LINEA A - HONORARIOS</t>
  </si>
  <si>
    <t>AUTORIZACION DE PAGO 8 DEL CONTRATO 035 DE 2017 - DEL  24/08/2017 AL 23/09/2017. LINEA A - HONORARIOS</t>
  </si>
  <si>
    <t>AUTORIZACION DE PAGO 9 DEL CONTRATO 035 DE 2017 - DEL  24/09/2017 AL 23/10/2017. LINEA A - HONORARIOS</t>
  </si>
  <si>
    <t>AUTORIZACION DE PAGO 10  DEL CONTRATO 035 DE 2017 - DEL  24/10/2017 AL 23/11/2017. LINEA A - HONORARIOS</t>
  </si>
  <si>
    <t>AUTORIZACION DE PAGO 11  DEL CONTRATO 035 DE 2017 - DEL  24/11/2017 AL 23/12/2017. LINEA A - HONORARIOS, CONSIGNAR EL VALOR DE PAGO ALA CUENTA AV VILLAS  No. 008812690 CUENTA DE AHORROS.</t>
  </si>
  <si>
    <t>AUTORIZACION DE PAGO 12  DEL CONTRATO 035 DE 2017 - DEL  24/12/2017 AL 31/12/2017. LINEA A - HONORARIOS, CONSIGNAR EL VALOR DE PAGO ALA CUENTA AV VILLAS  No. 008812690 CUENTA DE AHORROS.</t>
  </si>
  <si>
    <t>CONTRATO 033 -2017  ANGIE LIZETH RODRIGUEZ FAJARDO</t>
  </si>
  <si>
    <t>AUTORIZACIÓN PAGO 1 DEL CONTRATO 033 DE 2017 - DEL 25-01-2017 AL 24-02-2017. LINEA F.</t>
  </si>
  <si>
    <t>AUTORIZACION PAGO 2 DEL CONTRATO 033 DE 2017 - DEL 25-02-2017 AL 24-03-2017. LINEA F.- HONORARIOS</t>
  </si>
  <si>
    <t>AUTORIZACIÓN PAGO 3 DEL CONTRATO 033 DE 2017 - DEL 25-03-2017 AL 24-04-2017. LINEA F.- HONORARIOS</t>
  </si>
  <si>
    <t>AUTORIZACION PAGO 1 DEL CONTRATO 033 DE 2017 - NO HACE PARTE DE LOS INGRESOS Y EL REEMBOLSO SE ENCUENTRA INCLUIDO DENTRO DEL CONTRATO</t>
  </si>
  <si>
    <t>AUTORIZACION PAGO 2 DEL CONTRATO 033 DE 2017 - NO HACE PARTE DE LOS INGRESOS Y EL REEMBOLSO SE ENCUENTRA INCLUIDO DENTRO DEL CONTRATO</t>
  </si>
  <si>
    <t>AUTORIZACION PAGO 4 DEL CONTRATO 033 DE 2017 - DEL 25-04-2017 AL 24-05-2017. LINEA F.- HONORARIOS</t>
  </si>
  <si>
    <t>AUTORIZACION PAGO 5 DEL CONTRATO 033 DE 2017 - DEL 25-05-2017 AL 24-06-2017. LINEA F.- HONORARIOS</t>
  </si>
  <si>
    <t>AUTORIZACION PAGO 6 DEL CONTRATO 033 DE 2017 - DEL 25-06-2017 AL 24-07-2017. LINEA F.- HONORARIOS</t>
  </si>
  <si>
    <t>AUTORIZACION PAGO 7 DEL CONTRATO 033 DE 2017 - DEL 25-07-2017 AL 24-08-2017. LINEA F.- HONORARIOS</t>
  </si>
  <si>
    <t>AUTORIZACION PAGO 8 DEL CONTRATO 033 DE 2017 - DEL 25-08-2017 AL 24-09-2017. LINEA F.- HONORARIOS</t>
  </si>
  <si>
    <t>AUTORIZACION PAGO 9 DEL CONTRATO 033 DE 2017 - DEL 25-09-2017 AL 24-10-2017. LINEA F.- HONORARIOS</t>
  </si>
  <si>
    <t>AUTORIZACION PAGO 3 POR DESPLAZAMIENTO DEL CONTRATO 033 DE 2017 - NO HACE PARTE DE LOS INGRESOS Y EL REEMBOLSO SE ENCUENTRA INCLUIDO DENTRO DEL CONTRATO</t>
  </si>
  <si>
    <t>AUTORIZACION PAGO 10 DEL CONTRATO 033 DE 2017 - DEL 25-10-2017 AL 24-11-2017. LINEA F.- HONORARIOS</t>
  </si>
  <si>
    <t>AUTORIZACION PAGO 4 DESPLAZAMIENTOS DEL CONTRATO 033 DE 2017 - NO HACE PARTE DE LOS INGRESOS Y EL REEMBOLSO SE ENCUENTRA INCLUIDO DENTRO DEL CONTRATO</t>
  </si>
  <si>
    <t>AUTORIZACION PAGO 5 DEL CONTRATO 033 DE 2017 - NO HACE PARTE DE LOS INGRESOS Y EL REEMBOLSO SE ENCUENTRA INCLUIDO DENTRO DEL CONTRATO ,CUMPLE CON TODA LA DOCUMENTACION REQUERIDA -NO APLICAR RETENCIONES</t>
  </si>
  <si>
    <t>AUTORIZACION PAGO 11 DEL CONTRATO 033 DE 2017 - DEL 25-11-2017 AL 24-12-2017. LINEA F.- HONORARIOS</t>
  </si>
  <si>
    <t>AUTORIZACIÓN PAGO 12 DEL CONTRATO 033 DE 2017 - DEL 25-12-2017 AL 31-12-2017. LINEA F.- HONORARIOS</t>
  </si>
  <si>
    <t xml:space="preserve">CONTRATO 042 /2016  BEATRIZ MARIA HENRIQUEZ VEGA </t>
  </si>
  <si>
    <t>AUTORIZACION DE PAGO 1 CONTRATO 042 DE 2017 - DEL 25-01-2017 AL 24-02-2017 - LINEA B.</t>
  </si>
  <si>
    <t>AUTORIZACION DE PAGO 2 CONTRATO 042 DE 2017 - DEL 25-02-2017 AL 24-03-2017 - LINEA B.</t>
  </si>
  <si>
    <t xml:space="preserve">SALDO A LIBERAR POR HONORARIOS </t>
  </si>
  <si>
    <t xml:space="preserve">SALDO A LIBERAR POR DESPLAZAMIENTO </t>
  </si>
  <si>
    <t>CONTRATO 076 /2017  CLAUDIA KATHARINA RIVEROS BEECK</t>
  </si>
  <si>
    <t>AUTORIZACIÓN DE PAGO 1 DEL CONTRATO 076 DE 2017 -  DEL  01/02/2017 AL 28/02/2017. LINEA A</t>
  </si>
  <si>
    <t>AUTORIZACIÓN DE PAGO 2 DEL CONTRATO 076 DE 2017 -  DEL  01/03/2017 AL 31/03/2017. LINEA A</t>
  </si>
  <si>
    <t>AUTORIZACIÓN DE PAGO 3 DEL CONTRATO 076 DE 2017 -  DEL  01/04/2017 AL 30/04/2017. LINEA A - HONORARIOS.</t>
  </si>
  <si>
    <t>AUTORIZACIÓN DE PAGO 4 DEL CONTRATO 076 DE 2017 -  DEL  01/05/2017 AL 31/05/2017. LINEA A. HONORARIOS.  SE ACLARA QUE LA ORDEN EN ORIGINAL SE ENCUENTRA CON EL RADICADO 20170321530652 LA CUAL AUTORIZA EL 3 Y 4 DESEMBOLSO</t>
  </si>
  <si>
    <t>AUTORIZACION DE PAGO 5 DEL CONTRATO 076 DE 2017 -  DEL  01/06/2017 AL 30/06/2017. LINEA A. HONORARIOS.</t>
  </si>
  <si>
    <t>AUTORIZACION DE PAGO 6 DEL CONTRATO 076 DE 2017 -  DEL  01/07/2017 AL 30/07/2017. LINEA A. HONORARIOS.</t>
  </si>
  <si>
    <t>AUTORIZACION DE PAGO 7 DEL CONTRATO 076 DE 2017 -  DEL  01/08/2017 AL 31/08/2017. LINEA A. HONORARIOS.</t>
  </si>
  <si>
    <t>AUTORIZACION DE PAGO 8  DEL CONTRATO 076 DE 2017 -  DEL  01/09/2017 AL 30/09/2017. LINEA A. HONORARIOS.</t>
  </si>
  <si>
    <t>AUTORIZACION DE PAGO 9  DEL CONTRATO 076 DE 2017 -  DEL  01/10/2017 AL 31/10/2017. LINEA A. HONORARIOS.</t>
  </si>
  <si>
    <t>AUTORIZACION DE PAGO 10  DEL CONTRATO 076 DE 2017 -  DEL  01/11/2017 AL 30/11/2017. LINEA A. HONORARIOS.</t>
  </si>
  <si>
    <t>AUTORIZACION DE PAGO 11  DEL CONTRATO 076 DE 2017 -  DEL  01/12/2017 AL 31/12/2017. LINEA A. HONORARIOS.</t>
  </si>
  <si>
    <t>CONTRATO 107 /2017  DIOSA ISABEL RICO GARCIA</t>
  </si>
  <si>
    <t>AUTORIZACION DEL PAGO 1 DEL CONTRATO 107 DE 2017 - DEL 01/02/2017 AL 28/02/2017. LINEA B</t>
  </si>
  <si>
    <t>AUTORIZACION DEL PAGO 2 DEL CONTRATO 107 DE 2017 - DEL 01/03/2017 AL 31/03/2017. LINEA B</t>
  </si>
  <si>
    <t>AUTORIZACIÓN DEL PAGO 3 DEL CONTRATO 107 DE 2017 - DEL 01/04/2017 AL 30/04/2017. LINEA B - HONORARIOS</t>
  </si>
  <si>
    <t>AUTORIZACION DEL PAGO 4 DEL CONTRATO 107 DE 2017 - DEL 01/05/2017 AL 31/05/2017. LINEA B - HONORARIOS</t>
  </si>
  <si>
    <t>AUTORIZACION DEL PAGO 5 DEL CONTRATO 107 DE 2017 - DEL 01/06/2017 AL 30/06/2017. LINEA B - HONORARIOS</t>
  </si>
  <si>
    <t>AUTORIZACION DEL PAGO 6 DEL CONTRATO 107 DE 2017 - DEL 01/07/2017 AL 30/07/2017. LINEA B - HONORARIOS</t>
  </si>
  <si>
    <t>AUTORIZACION DEL PAGO 7 DEL CONTRATO 107 DE 2017 - DEL 01/08/2017 AL 31/08/2017. LINEA B - HONORARIOS</t>
  </si>
  <si>
    <t>AUTORIZACION DEL PAGO 8 DEL CONTRATO 107 DE 2017 - DEL 01/09/2017 AL 30/09/2017. LINEA B - HONORARIOS</t>
  </si>
  <si>
    <t>AUTORIZACION DEL PAGO 9 DEL CONTRATO 107 DE 2017 - DEL 01/10/2017 AL 31-10/2017. LINEA B - HONORARIOS</t>
  </si>
  <si>
    <t>AUTORIZACION DEL PAGO 10 DEL CONTRATO 107 DE 2017 - DEL 01/11/2017 AL 30/11/2017. LINEA B - HONORARIOS</t>
  </si>
  <si>
    <t>AUTORIZACION DEL PAGO 11 DEL CONTRATO 107 DE 2017 - DEL 01/12/2017 AL 31/12/2017. LINEA B - HONORARIOS</t>
  </si>
  <si>
    <t>CONTRATO 037 /2017  EDGAR ANDRES GOMEZ LOPEZ</t>
  </si>
  <si>
    <t>AUTORIZACION DEL PAGO 1 DEL CONTRATO 037 DE 2017 - DEL 24/01/2017 AL 23/02/2017. LINEA H.</t>
  </si>
  <si>
    <t>AUTORIZACION DEL PAGO 2 DEL CONTRATO 037 DE 2017 - DEL 24/03/2017 AL 23/03/2017. LINEA H.</t>
  </si>
  <si>
    <t>AUTORIZACION DEL PAGO 3 DEL CONTRATO 037 DE 2017 - DEL 24/03/2017 AL 23/04/2017. LINEA H.- HONORARIOS</t>
  </si>
  <si>
    <t>AUTORIZACIÓN DEL PAGO 4 DEL CONTRATO 037 DE 2017 - DEL 24/04/2017 AL 23/05/2017. LINEA H.- HONORARIOS</t>
  </si>
  <si>
    <t>AUTORIZACION DEL PAGO 5 DEL CONTRATO 037 DE 2017 - DEL 24/05/2017 AL 23/06/2017. LINEA H.- HONORARIOS</t>
  </si>
  <si>
    <t>AUTORIZACION DEL PAGO 6 DEL CONTRATO 037 DE 2017 - DEL 24/06/2017 AL 23/07/2017. LINEA H.- HONORARIOS</t>
  </si>
  <si>
    <t>AUTORIZACION DEL PAGO 7 DEL CONTRATO 037 DE 2017 - DEL 24/07/2017 AL 23/08/2017. LINEA H.- HONORARIOS</t>
  </si>
  <si>
    <t>AUTORIZACION DEL PAGO 8 DEL CONTRATO 037 DE 2017 - DEL 24/08/2017 AL 23/09/2017. LINEA H.- HONORARIOS</t>
  </si>
  <si>
    <t>AUTORIZACION DEL PAGO 9 DEL CONTRATO 037 DE 2017 - DEL 24/09/2017 AL 23/10/2017. LINEA H.- HONORARIOS</t>
  </si>
  <si>
    <t>AUTORIZACION DEL PAGO 10 DEL CONTRATO 037 DE 2017 - DEL 24/10/2017 AL 23/11/2017. LINEA H.- HONORARIOS</t>
  </si>
  <si>
    <t>AUTORIZACION DEL PAGO 11 DEL CONTRATO 037 DE 2017 - DEL 24/11/2017 AL 23/12/2017. LINEA H.- HONORARIOS</t>
  </si>
  <si>
    <t>AUTORIZACION DEL PAGO 12 DEL CONTRATO 037 DE 2017 - DEL 24/12/2017 AL 31/12/2017. LINEA H.- HONORARIOS</t>
  </si>
  <si>
    <t>CONTRATO 034 /2017  FELIPE  CHAVES MARTINEZ</t>
  </si>
  <si>
    <t>AUTORIZACION DE PAGO 1 DEL CONTRATO 034 DE 2017 - DEL  24/01/2017 AL 23/02/2017. LINEA B</t>
  </si>
  <si>
    <t>AUTORIZACIÓN DE PAGO 2 DEL CONTRATO 034 DE 2017 - DEL  24/02/2017 AL 23/03/2017. LINEA B</t>
  </si>
  <si>
    <t>AUTORIZACIÓN DE PAGO 3 DEL CONTRATO 034 DE 2017 - DEL  24/03/2017 AL 23/04/2017. LINEA B - HONORARIOS</t>
  </si>
  <si>
    <t>AUTORIZACIÓN DE PAGO 4 DEL CONTRATO 034 DE 2017 - DEL  24/04/2017 AL 23/05/2017. LINEA B- HONORARIOS</t>
  </si>
  <si>
    <t>AUTORIZACION DE PAGO 5 DEL CONTRATO 034 DE 2017 - DEL  24/05/2017 AL 23/06/2017. LINEA B- HONORARIOS</t>
  </si>
  <si>
    <t>AUTORIZACION DE PAGO 6 DEL CONTRATO 034 DE 2017 - DEL  24/06/2017 AL 23/07/2017. LINEA B- HONORARIOS</t>
  </si>
  <si>
    <t>AUTORIZACION DE PAGO 7  DEL CONTRATO 034 DE 2017 - DEL  24/07/2017 AL 23/08/2017. LINEA B- HONORARIOS</t>
  </si>
  <si>
    <t>AUTORIZACION DE PAGO 8  DEL CONTRATO 034 DE 2017 - DEL  24/08/2017 AL 23/09/2017. LINEA B- HONORARIOS</t>
  </si>
  <si>
    <t>AUTORIZACION DE PAGO 9 DEL CONTRATO 034 DE 2017 - DEL  24/09/2017 AL 23/10/2017. LINEA B- HONORARIOS</t>
  </si>
  <si>
    <t>AUTORIZACION DE PAGO 10  DEL CONTRATO 034 DE 2017 - DEL  24/10/2017 AL 23/11/2017. LINEA B- HONORARIOS</t>
  </si>
  <si>
    <t>AUTORIZACION DE PAGO 11  DEL CONTRATO 034 DE 2017 - DEL  24/11/2017 AL 23/12/2017. LINEA B- HONORARIOS</t>
  </si>
  <si>
    <t>AUTORIZACION DE PAGO 12  DEL CONTRATO 034 DE 2017 - DEL  24/12/2017 AL 31/12/2017. LINEA B- HONORARIOS</t>
  </si>
  <si>
    <t>CONTRATO 204 /2017  IVAN EDUARDO ALGECIRA REY</t>
  </si>
  <si>
    <t>AUTORIZACIÓN PAGO 1 DEL CONTRATO 204 DE 2017 - DEL 13-02-2017 AL 12-03-2017. LINEA E</t>
  </si>
  <si>
    <t>AUTORIZACIÓN PAGO 2 DEL CONTRATO 204 DE 2017 - DEL 13-03-2017 AL 12-04-2017. LINEA E</t>
  </si>
  <si>
    <t>AUTORIZACION PAGO 3 DEL CONTRATO 204 DE 2017 - DEL 13-04-2017 AL 12-05-2017. LINEA E</t>
  </si>
  <si>
    <t>CONTRATO 154 /2017  OMAR ANDRES VILLARREAL MESA</t>
  </si>
  <si>
    <t>AUTORIZACIÓN PAGO 1 DEL CONTRATO 154 DE 2017 - DEL 03-02-2017 AL 02-03-2017. LINEA C.</t>
  </si>
  <si>
    <t>AUTORIZACIÓN PAGO 2 DEL CONTRATO 154 DE 2017 - DEL 03-03-2017 AL 02-04-2017. LINEA C.</t>
  </si>
  <si>
    <t>AUTORIZACIÓN PAGO 3 DEL CONTRATO 154 DE 2017 - DEL 03-04-2017 AL 02-05-2017. LINEA C.- HONORARIOS</t>
  </si>
  <si>
    <t>AUTORIZACIÓN PAGO 4 DEL CONTRATO 154 DE 2017 - DEL 03-05-2017 AL 02-06-2017. LINEA C.- HONORARIOS</t>
  </si>
  <si>
    <t>AUTORIZACION PAGO 5 DEL CONTRATO 154 DE 2017 - DEL 03-06-2017 AL 02-07-2017. LINEA C.- HONORARIOS</t>
  </si>
  <si>
    <t>AUTORIZACION PAGO 6 DEL CONTRATO 154 DE 2017 - DEL 03-07-2017 AL 02-08-2017. LINEA C.- HONORARIOS</t>
  </si>
  <si>
    <t>AUTORIZACION PAGO 7 DEL CONTRATO154 DE 2017 - DEL 03-08-2017 AL 02-09-2017 LINE C - HONORARIOS</t>
  </si>
  <si>
    <t>AUTORIZACION PAGO 8 DEL CONTRATO 154 DE 2017 - DEL 03-09-2017 AL 02-10-2017. LINEA C.- HONORARIOS</t>
  </si>
  <si>
    <t>AUTORIZACION PAGO 9 DEL CONTRATO 154 DE 2017 - DEL 03-10-2017 AL 02-11-2017. LINEA C.- HONORARIOS</t>
  </si>
  <si>
    <t>AUTORIZACION PAGO 10  DEL CONTRATO 154 DE 2017 - DEL 03-11-2017 AL 02-12-2017. LINEA C.- HONORARIOS</t>
  </si>
  <si>
    <t>AUTORIZACION PAGO 11  DEL CONTRATO 154 DE 2017 - DEL 03-12-2017 AL 31-12-2017. LINEA C.- HONORARIOS</t>
  </si>
  <si>
    <t>CONTRATO 103 /2017  SOL MYRIAM HERNANDEZ SANDOBAL</t>
  </si>
  <si>
    <t>AUTORIZACIÓN DEL PAGO 1 DEL CONTRATO 103 DE 2017 - DEL 01/02/2017 AL 28/02/2017. LINEA H</t>
  </si>
  <si>
    <t>AUTORIZACIÓN DEL PAGO 2 DEL CONTRATO 103 DE 2017 - DEL 01/03/2017 AL 31/03/2017. LINEA H</t>
  </si>
  <si>
    <t>AUTORIZACIÓN ULTIMO PAGO DEL CONTRATO 103 DE 2017 - DEL 01/03/2017 AL 31/03/2017. LINEA H</t>
  </si>
  <si>
    <t xml:space="preserve">SALDO LIBERADO </t>
  </si>
  <si>
    <t>CONTRATO 038 /2017  SOL SULIBAN  MELO CASTIBLANCO</t>
  </si>
  <si>
    <t>AUTORIZACION DE PAGO 1 DEL CONTRATO 038 DE 2017 -  DEL  24/01/2017 AL 23/02/2017 - FACTURA No. 305. LINEA A</t>
  </si>
  <si>
    <t>AUTORIZACIÓN DE PAGO 2 DEL CONTRATO 038 DE 2017 -  DEL  24/02/2017 AL 23/03/2017 - FACTURA No. 305. LINEA A</t>
  </si>
  <si>
    <t>AUTORIZACION DE PAGO 1 DEL CONTRATO 038 DE 2017 POR DESPLAZAMIENTOS - FACTURA No308. SE MENCIONA QUE ESTE PAGO NO SE LE DEBEN HACER RETENCIONES DE ACUERDO AL CONCEPTO TRIBUTARIO - SE ADJUNTA CONTRATO. LINEA A</t>
  </si>
  <si>
    <t>AUTORIZACIÓN DE PAGO 3 DEL CONTRATO 038 DE 2017 -  DEL  24/03/2017 AL 23/04/2017 - FACTURA No. 311. LINEA A - HONORARIOS</t>
  </si>
  <si>
    <t>AUTORIZACION DE PAGO 4 DEL CONTRATO 038 DE 2017 -  DEL  24/04/2017 AL 23/05/2017 - FACTURA No. 313. LINEA A - HONORARIOS</t>
  </si>
  <si>
    <t>AUTORIZACION DE PAGO 5 DEL CONTRATO 038 DE 2017 -  DEL  24/05/2017 AL 23/06/2017 - FACTURA No. 314. LINEA A - HONORARIOS</t>
  </si>
  <si>
    <t>AUTORIZACION DE PAGO 6 DEL CONTRATO 038 DE 2017 -  DEL  24/06/2017 AL 23/07/2017 - FACTURA No. 316. LINEA A - HONORARIOS</t>
  </si>
  <si>
    <t>AUTORIZACIÓN DE PAGO 7 DEL CONTRATO 038 DE 2017 -  DEL  24/07/2017 AL 23/08/2017 - FACTURA No. 320. LINEA A - HONORARIOS</t>
  </si>
  <si>
    <t>AUTORIZACION DE PAGO 8 DEL CONTRATO 038 DE 2017 -  DEL  24/08/2017 AL 23/09/2017 - FACTURA No. 322. LINEA A - HONORARIOS</t>
  </si>
  <si>
    <t>AUTORIZACION DE PAGO 9 DEL CONTRATO 038 DE 2017 -  DEL  24/09/2017 AL 23/10/2017 - FACTURA No. 323. LINEA A - HONORARIOS</t>
  </si>
  <si>
    <t>AUTORIZACION DE PAGO 10  DEL CONTRATO 038 DE 2017 -  DEL  24/10/2017 AL 23/11/2017 - FACTURA No. 327. LINEA A - HONORARIOS</t>
  </si>
  <si>
    <t>AUTORIZACION DE PAGO 11  DEL CONTRATO 038 DE 2017 -  DEL  24/11/2017 AL 23/12/2017 - FACTURA No. 330. LINEA A - HONORARIOS</t>
  </si>
  <si>
    <t>AUTORIZACION DE PAGO 12  DEL CONTRATO 038 DE 2017 -  DEL  24/12/2017 AL 31/12/2017 - FACTURA No. 331. LINEA A - HONORARIOS</t>
  </si>
  <si>
    <t>CONTRATO 036 /2017  SUSANA PATRICIA LOPEZ MOLINA</t>
  </si>
  <si>
    <t>AUTORIZACIÓN DE PAGO 1 DEL CONTRATO 036 DE 2017 - DEL  24/01/2017 AL 23/02/2017. LINEA F.</t>
  </si>
  <si>
    <t>AUTORIZACIÓN DE PAGO 3 DEL CONTRATO 036 DE 2017 - DEL  24/03/2017 AL 23/04/2017. LINEA F. - HONORARIOS</t>
  </si>
  <si>
    <t>AUTORIZACION DE PAGO 4 DEL CONTRATO 036 DE 2017 - DEL  24/04/2017 AL 23/05/2017. LINEA F. - HONORARIOS</t>
  </si>
  <si>
    <t>AUTORIZACION DE PAGO 5 DEL CONTRATO 036 DE 2017 - DEL  24/05/2017 AL 23/06/2017. LINEA F. - HONORARIOS</t>
  </si>
  <si>
    <t>AUTORIZACION DE PAGO 6 DEL CONTRATO 036 DE 2017 - DEL  24/06/2017 AL 23/07/2017. LINEA F. - HONORARIOS</t>
  </si>
  <si>
    <t xml:space="preserve">AUTORIZACION DE PAGO 7 DEL CONTRATO 036 DE 2017 - </t>
  </si>
  <si>
    <t>AUTORIZACION DE PAGO 8 DEL CONTRATO 036 DE 2017 - DEL  24/08/2017 AL 23/09/2017. LINEA F. - HONORARIOS</t>
  </si>
  <si>
    <t>AUTORIZACION DE PAGO 9 DEL CONTRATO 036 DE 2017 - DEL  24/09/2017 AL 23/10/2017. LINEA F. - HONORARIOS</t>
  </si>
  <si>
    <t>AUTORIZACION DE PAGO 10  DEL CONTRATO 036 DE 2017 - DEL  24/10/2017 AL 23/11/2017. LINEA F. - HONORARIOS</t>
  </si>
  <si>
    <t>AUTORIZACION DE PAGO 11  DEL CONTRATO 036 DE 2017 - DEL  24/11/2017 AL 23/12/2017. LINEA F. - HONORARIOS</t>
  </si>
  <si>
    <t>AUTORIZACION DE PAGO 12  DEL CONTRATO 036 DE 2017 - DEL  24/12/2017 AL 31/12/2017. LINEA F. - HONORARIOS</t>
  </si>
  <si>
    <t xml:space="preserve">CONTRATO 215 /2017  OSCAR LEONARDO RICO SANCHEZ </t>
  </si>
  <si>
    <t>AUTORIZACIÓN PAGO 1 DEL CONTRATO 215 DE 2017 - DEL 15-03-2017 AL 14-04-2017. LINEA H</t>
  </si>
  <si>
    <t>AUTORIZACIÓN PAGO 2 DEL CONTRATO 215 DE 2017 - DEL 15-03-2017 AL 14-04-2017. LINEA H</t>
  </si>
  <si>
    <t>AUTORIZACION PAGO 3 DEL CONTRATO 215 DE 2017 - DEL 15-04-2017 AL 14-05-2017. LINEA H</t>
  </si>
  <si>
    <t>AUTORIZACION PAGO 4 DEL CONTRATO 215 DE 2017 - DEL 15-05-2017 AL 14-06-2017. LINEA H. HONORARIOS</t>
  </si>
  <si>
    <t>AUTORIZACION PAGO 5 DEL CONTRATO 215 DE 2017 - DEL 15-06-2017 AL 14-07-2017. LINEA H. HONORARIOS</t>
  </si>
  <si>
    <t>AUTORIZACIÓN PAGO 6 DEL CONTRATO 215 DE 2017 - DEL 15-07-2017 AL 14-08-2017. LINEA H. HONORARIOS</t>
  </si>
  <si>
    <t>AUTORIZACION PAGO 7 DEL CONTRATO 215 DE 2017 - DEL 15-08-2017 AL 14-09-2017. LINEA H. HONORARIOS</t>
  </si>
  <si>
    <t>AUTORIZACION PAGO 8 DEL CONTRATO 215 DE 2017 - DEL 15-09-2017 AL 14-10-2017. LINEA H. HONORARIOS</t>
  </si>
  <si>
    <t>AUTORIZACION PAGO 9 DEL CONTRATO 215 DE 2017 - DEL 15-10-2017 AL 14-11-2017. LINEA H. HONORARIOS</t>
  </si>
  <si>
    <t>AUTORIZACION PAGO 10  DEL CONTRATO 215 DE 2017 - DEL 15-11-2017 AL 14-12-2017. LINEA H. HONORARIOS</t>
  </si>
  <si>
    <t>AUTORIZACION PAGO 11 DEL CONTRATO 215 DE 2017 - DEL 15-15-2017 AL 31-12-2017. LINEA H. HONORARIOS</t>
  </si>
  <si>
    <t>CONTRATO 203 DE 2017 LUIS ANGEL HERNANDEZ SABOGAL</t>
  </si>
  <si>
    <t>AUTORIZACION DEL PAGO 1 DEL CONTRATO 203 DE 2017 - DEL 13/02/2017 AL 12/03/2017. LINEA C</t>
  </si>
  <si>
    <t>AUTORIZACIÓN DEL PAGO 2 DEL CONTRATO 203 DE 2017 - DEL 13/03/2017 AL 12/04/2017. LINEA C</t>
  </si>
  <si>
    <t>AUTORIZACION DEL PAGO 3 DEL CONTRATO 203 DE 2017 - DEL 13/04/2017 AL 12/05/2017. LINEA C</t>
  </si>
  <si>
    <t>AUTORIZACION DEL PAGO 4 DEL CONTRATO 203 DE 2017 - DEL 13/05/2017 AL 12/06/2017. LINEA C</t>
  </si>
  <si>
    <t>AUTORIZACION DEL PAGO 5 DEL CONTRATO 203 DE 2017 - DEL 13/06/2017 AL 12/07/2017. LINEA C</t>
  </si>
  <si>
    <t>AUTORIZACION DEL PAGO 6 DEL CONTRATO 203 DE 2017 - DEL 13/07/2017 AL 12/08/2017. LINEA C</t>
  </si>
  <si>
    <t>AUTORIZACION DE PAGO 1 DEL CONTRATO 203 DE 2017 - POR DESPLAZAMIENTO- LINEA C BENEFICIARIO DEL PAGO CUMPLE Y ANEXA LA DOCUMENTACION PERTINENTE PARA NO APLICAR LA RETENCION.</t>
  </si>
  <si>
    <t>AUTORIZACION DE PAGO 2 DEL CONTRATO 203 DE 2017 - POR DESPLAZAMIENTO- LINEA C BENEFICIARIO DEL PAGO CUMPLE Y ANEXA LA DOCUMENTACION PERTINENTE PARA NO APLICAR LA RETENCION.</t>
  </si>
  <si>
    <t>AUTORIZACION DEL PAGO 7 DEL CONTRATO 203 DE 2017 - DEL 13/08/2017 AL 12/09/2017. LINEA C -HONORARIOS</t>
  </si>
  <si>
    <t>AUTORIZACION DEL PAGO 8 DEL CONTRATO 203 DE 2017 - DEL 13/09/2017 AL 12/10/2017. LINEA C -HONORARIOS</t>
  </si>
  <si>
    <t>AUTORIZACION DE PAGO 3 DEL CONTRATO 203 DE 2017 - POR DESPLAZAMIENTO- LINEA C BENEFICIARIO DEL PAGO CUMPLE Y ANEXA LA DOCUMENTACION PERTINENTE PARA NO APLICAR LA RETENCION.</t>
  </si>
  <si>
    <t>AUTORIZACION DE PAGO 6 DEL CONTRATO 203 DE 2017 - POR DESPLAZAMIENTO- LINEA C BENEFICIARIO DEL PAGO CUMPLE Y ANEXA LA DOCUMENTACION PERTINENTE PARA NO APLICAR LA RETENCION.</t>
  </si>
  <si>
    <t>AUTORIZACION DE PAGO 5 DEL CONTRATO 203 DE 2017 - POR DESPLAZAMIENTO- LINEA C BENEFICIARIO DEL PAGO CUMPLE Y ANEXA LA DOCUMENTACION PERTINENTE PARA NO APLICAR LA RETENCION.</t>
  </si>
  <si>
    <t>AUTORIZACION DEL PAGO 9  DEL CONTRATO 203 DE 2017 - DEL 13/10/2017 AL 12/11/2017. LINEA C -HONORARIOS</t>
  </si>
  <si>
    <t>AUTORIZACION DE PAGO 4 DEL CONTRATO 203 DE 2017 - POR DESPLAZAMIENTO- LINEA C BENEFICIARIO DEL PAGO CUMPLE Y ANEXA LA DOCUMENTACION PERTINENTE PARA NO APLICAR LA RETENCION.</t>
  </si>
  <si>
    <t>AUTORIZACION DEL PAGO 10  DEL CONTRATO 203 DE 2017 - DEL 13/11/2017 AL 12/12/2017. LINEA C -HONORARIOS</t>
  </si>
  <si>
    <t>AUTORIZACION DEL PAGO 11  DEL CONTRATO 203 DE 2017 - DEL 13/12/2017 AL 31/12/2017. LINEA C -HONORARIOS</t>
  </si>
  <si>
    <t>CONTRATO 100 DE 2017 WILLIAM ALEJANDRO RIVERA CAMERO</t>
  </si>
  <si>
    <t>AUTORIZACIÓN DE PAGO 1 DEL CONTRATO 100 DE 2017 - DEL  01/02/2017 AL 28/02/2017. LINEA E.</t>
  </si>
  <si>
    <t>AUTORIZACION DE PAGO 2 DEL CONTRATO 100 DE 2017 - DEL  01/03/2017 AL 31/03/2017. LINEA E.</t>
  </si>
  <si>
    <t>AUTORIZACION DE PAGO 3 DEL CONTRATO 100 DE 2017 - DEL  01/04/2017 AL 30/04/2017. LINEA E.</t>
  </si>
  <si>
    <t>AUTORIZACION DE PAGO 4 DEL CONTRATO 100 DE 2017 - DEL  01/05/2017 AL 31/05/2017. LINEA E.</t>
  </si>
  <si>
    <t>AUTORIZACION DE PAGO 5 DEL CONTRATO 100 DE 2017 - DEL  01/06/2017 AL 30/06/2017. LINEA E.</t>
  </si>
  <si>
    <t>AUTORIZACION DE PAGO 6 DEL CONTRATO 100 DE 2017 - DEL  01/07/2017 AL 31/7/2017 LINEA E.</t>
  </si>
  <si>
    <t>AUTORIZACION DE PAGO 7 DEL CONTRATO 100 DE 2017 - DEL  01/08/2017 AL 31/8/2017 LINEA E.- HONORARIOS</t>
  </si>
  <si>
    <t>AUTORIZACION DE PAGO 8 DEL CONTRATO 100 DE 2017 - DEL  01/09/2017 AL 31/9/2017 LINEA E.- HONORARIOS</t>
  </si>
  <si>
    <t>AUTORIZACION DE PAGO 9 DEL CONTRATO 100 DE 2017 - DEL  01/10/2017 AL 31/10 /2017 LINEA E.- HONORARIOS</t>
  </si>
  <si>
    <t>AUTORIZACION DE PAGO 10 DEL CONTRATO 100 DE 2017 - DEL  01/11/2017 AL 30/11 /2017 LINEA E.- HONORARIOS</t>
  </si>
  <si>
    <t>AUTORIZACION DE PAGO 11 DEL CONTRATO 100 DE 2017 - DEL  01/12/2017 AL 31/12 /2017 LINEA E.- HONORARIOS</t>
  </si>
  <si>
    <t xml:space="preserve">RESOLUCION 1532 COLPENSIONES </t>
  </si>
  <si>
    <t>AUTORIZACION PAGO 1 RESOLUCION 1532 DEL 17-04- 2017 LINEA D</t>
  </si>
  <si>
    <t>CONTRATO 269 DE 2017 DAVID SANTIAGO GONZALEZ RODRIGUEZ</t>
  </si>
  <si>
    <t>AUTORIZACION PAGO 1 DEL CONTRATO 269 DE 2017 - DEL 24-02-2017 AL 23-03-2017. LINEA H</t>
  </si>
  <si>
    <t>AUTORIZACION PAGO 2 DEL CONTRATO 269 DE 2017 - DEL 24-03-2017 AL 23-04-2017. LINEA H - HONORARIOS</t>
  </si>
  <si>
    <t>AUTORIZACION PAGO 3 DEL CONTRATO 269 DE 2017 - DEL 24-04-2017 AL 23-05-2017. LINEA H - HONORARIOS</t>
  </si>
  <si>
    <t>AUTORIZACION PAGO 4 DEL CONTRATO 269 DE 2017 - DEL 24-05-2017 AL 23-06-2017. LINEA H - HONORARIOS</t>
  </si>
  <si>
    <t>AUTORIZACION PAGO 5 DEL CONTRATO 269 DE 2017 - DEL 24-06-2017 AL 23-07-2017. LINEA H - HONORARIOS</t>
  </si>
  <si>
    <t>AUTORIZACION PAGO 6 DEL CONTRATO 269 DE 2017 - DEL 24-07-2017 AL 23-08-2017. LINEA H - HONORARIOS</t>
  </si>
  <si>
    <t>AUTORIZACION PAGO 7 DEL CONTRATO 269 DE 2017 - DEL 24-08-2017 AL 23-09-2017. LINEA H - HONORARIOS</t>
  </si>
  <si>
    <t>AUTORIZACION PAGO 8 DEL CONTRATO 269 DE 2017 - DEL 24-09-2017 AL 23-10-2017. LINEA H - HONORARIOS</t>
  </si>
  <si>
    <t>AUTORIZACION PAGO 9 DEL CONTRATO 269 DE 2017 - DEL 24-10-2017 AL 23-11-2017. LINEA H - HONORARIOS</t>
  </si>
  <si>
    <t>AUTORIZACION PAGO 10 DEL CONTRATO 269 DE 2017 - DEL 24-11-2017 AL 23-12-2017. LINEA H - HONORARIOS</t>
  </si>
  <si>
    <t>AUTORIZACION PAGO 11 DEL CONTRATO 269 DE 2017 - DEL 24-12-2017 AL 31-12-2017. LINEA H - HONORARIOS</t>
  </si>
  <si>
    <t>CONTRATO 321 DE 2017 FUNDACION AVE FENIX</t>
  </si>
  <si>
    <t>AUTORIZACIÓN DE PAGO 1 DEL CONTRATO 321 DE 2017 - FACTURA No.0291 -  LINEA A - HONORARIOS</t>
  </si>
  <si>
    <t>AUTORIZACION DE PAGO 2 DEL CONTRATO 321 DE 2017 - FACTURA No.0298 -  LINEA A - HONORARIOS</t>
  </si>
  <si>
    <t>AUTORIZACION DE PAGO 3 DEL CONTRATO 321 DE 2017 - FACTURA No.306 -  LINEA A - HONORARIOS</t>
  </si>
  <si>
    <t>AUTORIZACION DE PAGO 4 DEL CONTRATO 321 DE 2017 - FACTURA No.316 -  LINEA A - HONORARIOS</t>
  </si>
  <si>
    <t>CONVENIO 326 DE 2017 FUNDACION NUEVO HORIZONTE</t>
  </si>
  <si>
    <t>AUTORIZACIÓN DE PAGO 1 DEL CONVENIO 326 DE 2017 - FACTURA No 0166  LINEA B - HONORARIOS</t>
  </si>
  <si>
    <t>AUTORIZACION DE PAGO 2 DEL CONVENIO 326 DE 2017 - FACTURA No 0180  LINEA B - HONORARIOS</t>
  </si>
  <si>
    <t>AUTORIZACION DE PAGO 3 DEL CONVENIO 326 DE 2017 - FACTURA No 0187  LINEA B - HONORARIOS0</t>
  </si>
  <si>
    <t xml:space="preserve">CONTRATO 305 DE 2017 JULIAN DAVID PEÑA MARTINEZ </t>
  </si>
  <si>
    <t>AUTORIZACION PAGO 1 DEL CONTRATO 305 DE 2017 - DEL 14-03-2017 AL 13-04-2017. LINEA H-HONORARIOS</t>
  </si>
  <si>
    <t>AUTORIZACION PAGO 2 DEL CONTRATO 305 DE 2017 - DEL 14-04-2017 AL 13-05-2017. LINEA H-HONORARIOS</t>
  </si>
  <si>
    <t>AUTORIZACION PAGO 3 DEL CONTRATO 305 DE 2017 - DEL 14-05-2017 AL 13-06-2017. LINEA H-HONORARIOS</t>
  </si>
  <si>
    <t>AUTORIZACION PAGO 4 DEL CONTRATO 305 DE 2017 - DEL 14-06-2017 AL 13-07-2017. LINEA H-HONORARIOS</t>
  </si>
  <si>
    <t>AUTORIZACION PAGO 5 DEL CONTRATO 305 DE 2017 - DEL 14-07-2017 AL 13-08-2017. LINEA H-HONORARIOS</t>
  </si>
  <si>
    <t>AUTORIZACION PAGO 6 DEL CONTRATO 305 DE 2017 - DEL 14-08-2017 AL 13-09-2017. LINEA H-HONORARIOS</t>
  </si>
  <si>
    <t>AUTORIZACION PAGO 7 DEL CONTRATO 305 DE 2017 - DEL 14-09-2017 AL 13-10-2017. LINEA H-HONORARIOS</t>
  </si>
  <si>
    <t>AUTORIZACION PAGO 8 DEL CONTRATO 305 DE 2017 - DEL 14-10-2017 AL 13-11-2017. LINEA H-HONORARIOS</t>
  </si>
  <si>
    <t>AUTORIZACION PAGO 9 DEL CONTRATO 305 DE 2017 - DEL 14-11-2017 AL 13-12-2017. LINEA H-HONORARIOS</t>
  </si>
  <si>
    <t>AUTORIZACION PAGO 10 DEL CONTRATO 305 DE 2017 - DEL 14-12-2017 AL 31-12-2017. LINEA H-HONORARIOS</t>
  </si>
  <si>
    <t>CONTRATO 303 DE 2017 LUIS JAVIER BONILLA PINILLA</t>
  </si>
  <si>
    <t>AUTORIZACION PAGO 1 DEL CONTRATO 303 DE 2017 - DEL 13-03-2017 AL 12-04-2017. LINEA G-HONORARIOS</t>
  </si>
  <si>
    <t>AUTORIZACIÓN PAGO 2 DEL CONTRATO 303 DE 2017 - DEL 13-04-2017 AL 12-05-2017. LINEA G-HONORARIOS</t>
  </si>
  <si>
    <t>AUTORIZACION PAGO 3 DEL CONTRATO 303 DE 2017 - DEL 13-05-2017 AL 12-06-2017. LINEA G-HONORARIOS</t>
  </si>
  <si>
    <t>AUTORIZACION PAGO 4 DEL CONTRATO 303 DE 2017 - DEL 13-06-2017 AL 12-07-2017. LINEA G-HONORARIOS</t>
  </si>
  <si>
    <t>AUTORIZACION PAGO 5 DEL CONTRATO 303 DE 2017 - DEL 13-07-2017 AL 12-08-2017. LINEA G-HONORARIOS</t>
  </si>
  <si>
    <t>AUTORIZACION PAGO 6 DEL CONTRATO 303 DE 2017 - DEL 13-08-2017 AL 12-09-2017. LINEA G-HONORARIOS</t>
  </si>
  <si>
    <t>AUTORIZACION PAGO 7 DEL CONTRATO 303 DE 2017 - DEL 13-09-2017 AL 12-10-2017. LINEA G-HONORARIOS</t>
  </si>
  <si>
    <t>AUTORIZACION PAGO 8 DEL CONTRATO 303 DE 2017 - DEL 13-10-2017 AL 12-11-2017. LINEA G-HONORARIOS</t>
  </si>
  <si>
    <t>AUTORIZACION PAGO 9 DEL CONTRATO 303 DE 2017 - DEL 13-11-2017 AL 12-12-2017. LINEA G-HONORARIOS</t>
  </si>
  <si>
    <t>AUTORIZACION PAGO 10 DEL CONTRATO 303 DE 2017 - DEL 13-12-2017 AL 31-12-2017. LINEA G-HONORARIOS</t>
  </si>
  <si>
    <t>CONTRATO 332 DE 2017 NIDIA ROCIO SOTELO SUAREZ</t>
  </si>
  <si>
    <t>AUTORIZACIÓN PAGO 1 DEL CONTRATO 332 DE 2017 - DEL 23-03-2017 AL 22-04-2017. LINEA C - HONORARIOS</t>
  </si>
  <si>
    <t>AUTORIZACIÓN PAGO 2 DEL CONTRATO 332 DE 2017 - DEL 23-04-2017 AL 22-05-2017. LINEA C - HONORARIOS</t>
  </si>
  <si>
    <t>AUTORIZACION PAGO 3 DEL CONTRATO 332 DE 2017 - DEL 23-05-2017 AL 22-06-2017. LINEA C - HONORARIOS</t>
  </si>
  <si>
    <t>AUTORIZACION PAGO 4 DEL CONTRATO 332 DE 2017 - DEL 23-06-2017 AL 22-07-2017. LINEA C - HONORARIOS</t>
  </si>
  <si>
    <t>AUTORIZACION PAGO 5 DEL CONTRATO 332 DE 2017 - DEL 23-07-2017 AL 22-08-2017. LINEA C - HONORARIOS</t>
  </si>
  <si>
    <t>AUTORIZACION PAGO 6 DEL CONTRATO 332 DE 2017 - DEL 23-08-2017 AL 22-09-2017. LINEA C - HONORARIOS</t>
  </si>
  <si>
    <t>AUTORIZACION PAGO 7 DEL CONTRATO 332 DE 2017 - DEL 23-09-2017 AL 22-10-2017. LINEA C - HONORARIOS</t>
  </si>
  <si>
    <t>AUTORIZACION PAGO 8 DEL CONTRATO 332 DE 2017 - DEL 23-10-2017 AL 22-11-2017. LINEA C - HONORARIOS</t>
  </si>
  <si>
    <t>AUTORIZACIÓN PAGO 9 DEL CONTRATO 332 DE 2017 - DEL 23-11-2017 AL 22-12-2017. LINEA C - HONORARIOS</t>
  </si>
  <si>
    <t>CONTRATO 364 DE 2017 ALIX DEL PILAR SEPULVEDA CARRASCAL</t>
  </si>
  <si>
    <t>AUTORIZACION DE PAGO 1 CONTRATO 364 DE 2017 - DEL 10-04-2017 AL 09-05-2017 -LINEA H.</t>
  </si>
  <si>
    <t>AUTORIZACION DE PAGO 2 CONTRATO 364 DE 2017 - DEL 10-05-2017 AL 09-06-2017 -LINEA H.</t>
  </si>
  <si>
    <t>AUTORIZACION DE PAGO 3 CONTRATO 364 DE 2017 - DEL 10-06-2017 AL 09-07-2017 -LINEA H.</t>
  </si>
  <si>
    <t>AUTORIZACION DE PAGO 4 CONTRATO 364 DE 2017 - DEL 10-07-2017 AL 09-08-2017 -LINEA H.  HONORARIOS</t>
  </si>
  <si>
    <t>AUTORIZACIÓN DE PAGO 5 CONTRATO 364 DE 2017 - DEL 10-08-2017 AL 09-09-2017 -LINEA H.  HONORARIOS</t>
  </si>
  <si>
    <t>AUTORIZACION DE PAGO 6 CONTRATO 364 DE 2017 - DEL 10-09-2017 AL 09-10-2017 -LINEA H.  HONORARIOS</t>
  </si>
  <si>
    <t>AUTORIZACION DE PAGO 7 CONTRATO 364 DE 2017 - DEL 10-10-2017 AL 09-11-2017 -LINEA H.  HONORARIOS</t>
  </si>
  <si>
    <t>AUTORIZACION DE PAGO 8 CONTRATO 364 DE 2017 - DEL 10-11-2017 AL 09-12-2017 -LINEA H.  HONORARIOS</t>
  </si>
  <si>
    <t>AUTORIZACION DE PAGO 9 CONTRATO 364 DE 2017 - DEL 10-12-2017 AL 31-12-2017 -LINEA H.  HONORARIOS</t>
  </si>
  <si>
    <t>CONTRATO 274 DE 2017 CIRO ARIAS GARCIA</t>
  </si>
  <si>
    <t>AUTORIZACIÓN DE PAGO 1 CONTRATO 274 DE 2017 - DEL 01-03-2017 AL 31-03-2017 -LINEA H.</t>
  </si>
  <si>
    <t>AUTORIZACION DE PAGO 2 CONTRATO 274 DE 2017 - DEL 01-04-2017 AL 30-04-2017 -LINEA H.</t>
  </si>
  <si>
    <t>AUTORIZACION DE PAGO 3 CONTRATO 274 DE 2017 - DEL 01-05-2017 AL 31-05-2017 -LINEA H.</t>
  </si>
  <si>
    <t>AUTORIZACION DE PAGO 4 CONTRATO 274 DE 2017 - DEL 01-06-2017 AL 30-06-2017 -LINEA H.</t>
  </si>
  <si>
    <t>AUTORIZACION DE PAGO 5 CONTRATO 274 DE 2017 - DEL 01-07-2017 AL 31/07-2017 -LINEA H.  HONORARIOS</t>
  </si>
  <si>
    <t>AUTORIZACION DE PAGO 6 CONTRATO 274 DE 2017 - DEL 01-08-2017 AL 31/08-2017 -LINEA H.  HONORARIOS</t>
  </si>
  <si>
    <t>AUTORIZACION DE PAGO 7 CONTRATO 274 DE 2017 - DEL 01-09-2017 AL 30/09-2017 -LINEA H.  HONORARIOS</t>
  </si>
  <si>
    <t>AUTORIZACION DE PAGO 8 CONTRATO 274 DE 2017 - DEL 01-10-2017 AL 31/10-2017 -LINEA H.  HONORARIOS</t>
  </si>
  <si>
    <t>AUTORIZACION DE PAGO 9 CONTRATO 274 DE 2017 - DEL 01-11-2017 AL 30/11-2017 -LINEA H.  HONORARIOS</t>
  </si>
  <si>
    <t>AUTORIZACION DE PAGO 10 CONTRATO 274 DE 2017 - DEL 01-12-2017 AL 31/12-2017 -LINEA H.  HONORARIOS</t>
  </si>
  <si>
    <t>CONTRATO 297 DE 2017 JUAN CAMILO PUERTA PASTOR</t>
  </si>
  <si>
    <t>AUTORIZACION DE PAGO 1 CONTRATO 297 DE 2017 - DEL 09-03-2017 AL 08-04-2017 -LINEA H.</t>
  </si>
  <si>
    <t>AUTORIZACION DE PAGO 2 CONTRATO 297 DE 2017 - DEL 09-04-2017 AL 08-05-2017 -LINEA H.</t>
  </si>
  <si>
    <t>AUTORIZACION DE PAGO 3  CONTRATO 297 DE 2017 - DEL 09-05-2017 AL 08-06-2017 -LINEA H.</t>
  </si>
  <si>
    <t>AUTORIZACION DE PAGO 4  CONTRATO 297 DE 2017 - DEL 09-06-2017 AL 08-07-2017 -LINEA H.</t>
  </si>
  <si>
    <t>CONTRATO 344 DE 2017 LELIS DEL CARMEN ARCHILA ESCORCIA</t>
  </si>
  <si>
    <t>AUTORIZACION DE PAGO 1 CONTRATO 344 DE 2017 - DEL 03-04-2017 AL 02-05-2017 - FACTURA 0120. LINEA E.</t>
  </si>
  <si>
    <t>AUTORIZACION DE PAGO 2 CONTRATO 344 DE 2017 - DEL 03-05-2017 AL 02-06-2017 - FACTURA 0121. LINEA E.  HONORARIOS</t>
  </si>
  <si>
    <t>AUTORIZACION DE PAGO 3 CONTRATO 344 DE 2017 - DEL 03-06-2017 AL 02-07-2017 - FACTURA 0123. LINEA E.  HONORARIOS</t>
  </si>
  <si>
    <t>AUTORIZACION DE PAGO 4 CONTRATO 344 DE 2017 - DEL 03-07-2017 AL 02-08-2017 - FACTURA 0125. LINEA E.  HONORARIOS</t>
  </si>
  <si>
    <t>AUTORIZACION DE PAGO 5 CONTRATO 344 DE 2017 - DEL 03-08-2017 AL 02-09-2017 - FACTURA 0126. LINEA E.  HONORARIOS</t>
  </si>
  <si>
    <t>AUTORIZACION DE PAGO 6 CONTRATO 344 DE 2017 - DEL 03-09-2017 AL 02-10-2017 - FACTURA 0127. LINEA E.  HONORARIOS</t>
  </si>
  <si>
    <t>AUTORIZACION DE PAGO 7 CONTRATO 344 DE 2017 - DEL 03-10-2017 AL 02-11-2017 - FACTURA 0128. LINEA E.  HONORARIOS</t>
  </si>
  <si>
    <t>AUTORIZACION DE PAGO 8 CONTRATO 344 DE 2017 - DEL 03-11-2017 AL 02-12-2017 - FACTURA 0129. LINEA E.  HONORARIOS</t>
  </si>
  <si>
    <t>AUTORIZACION DE PAGO 9 CONTRATO 344 DE 2017 - DEL 03-12-2017 AL 31-12-2017 - FACTURA 0131. LINEA E.  HONORARIOS</t>
  </si>
  <si>
    <t>CONTRATO 334 DE 2017 MONICA VIVIANA GUEVARA GONZALEZ</t>
  </si>
  <si>
    <t>AUTORIZACION DE PAGO 1 CONTRATO 334 DE 2017 - DEL 27-03-2017 AL 26-04-2017 -LINEA B.</t>
  </si>
  <si>
    <t>AUTORIZACION DE PAGO 2 CONTRATO 334 DE 2017 - DEL 27-04-2017 AL 26-05-2017 -LINEA B.</t>
  </si>
  <si>
    <t>AUTORIZACION DE PAGO 3 CONTRATO 334 DE 2017 - DEL 27-05-2017 AL 26-06-2017 -LINEA B.</t>
  </si>
  <si>
    <t>AUTORIZACION DE PAGO 4 CONTRATO 334 DE 2017 - DEL 27-06-2017 AL 26-07-2017 -LINEA B.</t>
  </si>
  <si>
    <t>AUTORIZACION DE PAGO 5 CONTRATO 334 DE 2017 - DEL 27-07-2017 AL 26-08-2017 -LINEA B.  HONORARIOS</t>
  </si>
  <si>
    <t>AUTORIZACION DE PAGO 7 CONTRATO 334 DE 2017 - DEL 27-09-2017 AL 26-10-2017 -LINEA B.  HONORARIOS</t>
  </si>
  <si>
    <t>AUTORIZACION DE PAGO 6 CONTRATO 334 DE 2017 - DEL 27-08-2017 AL 26-09-2017 -LINEA B.  HONORARIOS</t>
  </si>
  <si>
    <t>AUTORIZACION DE PAGO 8 CONTRATO 334 DE 2017 - DEL 27-10-2017 AL 26-11-2017 -LINEA B.  HONORARIOS</t>
  </si>
  <si>
    <t>AUTORIZACION DE PAGO 9 CONTRATO 334 DE 2017 - DEL 27-11-2017 AL 26-12-2017 -LINEA B.  HONORARIOS</t>
  </si>
  <si>
    <t>CONVENIO 376 DE 2017 ORGANIZACION IBEROAMERICANA DE SEGURIDAD</t>
  </si>
  <si>
    <t>AUTORIZACIÓN DEL PAGO 1 DEL CONVENIO DE COOPERACIÓN 376 DE  2017. LINEA A - HONORARIOS</t>
  </si>
  <si>
    <t>AUTORIZACIÓN DEL PAGO  2 DEL CONVENIO DE COOPERACIÓN 376 DE  2017. LINEA A - HONORARIOS</t>
  </si>
  <si>
    <t>AUTORIZACIÓN DEL PAGO 3 DEL CONVENIO 376 DE  2017. LINEA A - HONORARIOS.</t>
  </si>
  <si>
    <t>CONTRATO No. 202 DE 2017  CESAR AUGUSTO LIMA MUÑOZ</t>
  </si>
  <si>
    <t>AUTORIZACION DEL PAGO 1 DEL CONTRATO 202 DE 2017 - DEL 13/02/2017 AL 12/03/2017. LINEA C.</t>
  </si>
  <si>
    <t>AUTORIZACION DEL PAGO 2 DEL CONTRATO 202 DE 2017</t>
  </si>
  <si>
    <t>AUTORIZACION DEL PAGO 3 DEL CONTRATO 202 DE 2017 - DEL 13/04/2017 AL 12/05/2017. LINEA C.</t>
  </si>
  <si>
    <t>AUTORIZACION DEL PAGO 4 DEL CONTRATO 202 DE 2017 - DEL 13/05/2017 AL 12/06/2017. LINEA C.</t>
  </si>
  <si>
    <t>AUTORIZACION DEL PAGO 5 DEL CONTRATO 202 DE 2017 - DEL 13/06/2017 AL 12/07/2017. LINEA C.</t>
  </si>
  <si>
    <t>AUTORIZACION DEL PAGO 6 DEL CONTRATO 202 DE 2017 - DEL 13/07/2017 AL 12/08/2017. LINEA C.</t>
  </si>
  <si>
    <t>AUTORIZACION DEL PAGO 7 DEL CONTRATO 202 DE 2017 - DEL 13/08/2017 AL 12/09/2017. LINEA C. HONORARIOS</t>
  </si>
  <si>
    <t>AUTORIZACION DEL PAGO 8 DEL CONTRATO 202 DE 2017 - DEL 13/09/2017 AL 12/10/2017. LINEA C. HONORARIOS</t>
  </si>
  <si>
    <t>AUTORIZACION DEL PAGO 9 DEL CONTRATO 202 DE 2017 - DEL 13/10/2017 AL 12/11/2017. LINEA C. HONORARIOS</t>
  </si>
  <si>
    <t>AUTORIZACION DEL PAGO 10 DEL CONTRATO 202 DE 2017 - DEL 13/11/2017 AL 12/12/2017. LINEA C. HONORARIOS</t>
  </si>
  <si>
    <t>AUTORIZACION DEL PAGO 11 DEL CONTRATO 202 DE 2017 - DEL 13/12/2017 AL 31/12/2017. LINEA C. HONORARIOS</t>
  </si>
  <si>
    <t>CONVENIO No. 357 DE 2017 - FUNDACION CALIDAD SUPERIOR</t>
  </si>
  <si>
    <t>AUTORIZACION DEL PAGO 1 DEL CONVENIO 357 DE 2017 -  LINEA B.- HONORARIOS</t>
  </si>
  <si>
    <t>AUTORIZACION DEL PAGO 2 DEL CONVENIO 357 DE 2017 -  LINEA B.- HONORARIOS</t>
  </si>
  <si>
    <t>AUTORIZACION DEL PAGO 3 DEL CONVENIO 357 DE 2017 ,FACTURA 0312 -  LINEA B.- HONORARIOS</t>
  </si>
  <si>
    <t>CONTRTTO No. 339 DE 2017 - ALBA SUSANA GARCIA VELASQUEZ</t>
  </si>
  <si>
    <t>AUTORIZACION DE PAGO 1 DEL CONTRATO 339 DE 2017 - DEL 30/03/2017 AL 29/04/2017. LINEA B- HONORARIOS</t>
  </si>
  <si>
    <t>AUTORIZACION DE PAGO 2 DEL CONTRATO 339 DE 2017 - DEL 30/04/2017 AL 29/05/2017. LINEA B- HONORARIOS</t>
  </si>
  <si>
    <t>AUTORIZACION DE PAGO 3 DEL CONTRATO 339 DE 2017 - DEL 30/05/2017 AL 29/06/2017. LINEA B- HONORARIOS</t>
  </si>
  <si>
    <t>AUTORIZACION DE PAGO 4 DEL CONTRATO 339 DE 2017 - DEL 30/06/2017 AL 29/07/2017. LINEA B- HONORARIOS</t>
  </si>
  <si>
    <t>AUTORIZACION DE PAGO 5 DEL CONTRATO 339 DE 2017 - DEL 30/07/2017 AL 29/08/2017. LINEA B- HONORARIOS</t>
  </si>
  <si>
    <t>AUTORIZACION DE PAGO 6 DEL CONTRATO 339 DE 2017 - DEL 30/08/2017 AL 29/09/2017. LINEA B- HONORARIOS</t>
  </si>
  <si>
    <t>AUTORIZACION DE PAGO 7 DEL CONTRATO 339 DE 2017 - DEL 30/09/2017 AL 29/10/2017. LINEA B- HONORARIOS</t>
  </si>
  <si>
    <t>AUTORIZACION DE PAGO 8 DEL CONTRATO 339 DE 2017 - DEL 30/10/2017 AL 29/11/2017. LINEA B- HONORARIOS</t>
  </si>
  <si>
    <t>AUTORIZACION DE PAGO 9 DEL CONTRATO 339 DE 2017 - DEL 30/11/2017 AL 29/12/2017. LINEA B- HONORARIOS</t>
  </si>
  <si>
    <t>CONVENIO DE COOPERACIÓN 353 DE  2017 - ORGANIZACION IBEROAMERICANA DE SEGURIDAD</t>
  </si>
  <si>
    <t>AUTORIZACIÓN DEL PAGO 1 DEL CONVENIO DE COOPERACIÓN 353 DE  2017. LINEA F - HONORARIOS</t>
  </si>
  <si>
    <t>AUTORIZACIÓN DEL PAGO 2 DEL CONVENIO DE COOPERACIÓN 353 DE  2017. LINEA F - HONORARIOS</t>
  </si>
  <si>
    <t>AUTORIZACIÓN DEL PAGO 3 DEL CONVENIO DE COOPERACIÓN 353 DE  2017. CUENTA COBRO 354-17LINEA F - HONORARIOS</t>
  </si>
  <si>
    <t>CONVENIO DE ASOCIACION 400 DE  2017.- ASOCIACION COLOMBIANA DE LAS MICRO PEQUE</t>
  </si>
  <si>
    <t>REPROGRAMACION PAGO CAUSADO  UN389  VOUCHER 693- PAGO 1 DEL CONVENIO DE ASOCIACION 400 DE  2017. LINEA A - AFECTA CUENTAS POR PAGAR</t>
  </si>
  <si>
    <t>AUTORIZACIÓN DEL PAGO 2 DEL CONVENIO DE ASOCIACION 400 DE  2017. LINEA A - HONORARIOS</t>
  </si>
  <si>
    <t>AUTORIZACIÓN DEL PAGO 3 DEL CONVENIO DE ASOCIACION 400 DE  2017. LINEA A - HONORARIOS</t>
  </si>
  <si>
    <t>CONTRATO  419 DE 2017- HECTOR MANUEL HERNANDEZ CEDEÑO</t>
  </si>
  <si>
    <t>AUTORIZACION DE PAGO 1 CONTRATO 419 DE 2017 - DEL 15-08-2017 AL 14-09-2017 -LINEA C.  HONORARIOS</t>
  </si>
  <si>
    <t>AUTORIZACION DE PAGO 2 CONTRATO 419 DE 2017 - DEL 15-09-2017 AL 14-10-2017 -LINEA C.  HONORARIOS</t>
  </si>
  <si>
    <t>AUTORIZACION DE PAGO 3 CONTRATO 419 DE 2017 - DEL 15-10-2017 AL 14-11-2017 -LINEA C.  HONORARIOS</t>
  </si>
  <si>
    <t>AUTORIZACION DE PAGO 4 CONTRATO 419 DE 2017 - DEL 15-11-2017 AL 14-12-2017 -LINEA C.  HONORARIOS</t>
  </si>
  <si>
    <t>AUTORIZACION DE PAGO 5 CONTRATO 419 DE 2017 - DEL 15-12-2017 AL 31-12-2017 -LINEA C.  HONORARIOS</t>
  </si>
  <si>
    <t>CONTRATO  500 DE 2017-MARIA ALEJANDRA SANTOS YEPES</t>
  </si>
  <si>
    <t>AUTORIZACION DE PAGO 1 CONTRATO 500 DE 2017 - DEL 20-10-2017 AL 19-11-2017 - LINEA C.  HONORARIOS</t>
  </si>
  <si>
    <t>AUTORIZACION DE PAGO 2 CONTRATO 500 DE 2017 - DEL 20-11-2017 AL 19-12-2017 - LINEA C.  HONORARIOS</t>
  </si>
  <si>
    <t>AUTORIZACION DE PAGO 3 CONTRATO 500 DE 2017 - DEL 20-12-2017 AL 31-12-2017 - LINEA C.  HONORARIOS</t>
  </si>
  <si>
    <t>CONTRATO  520 DE 2017-ALEX IVAN JUTCHENKO MORALES</t>
  </si>
  <si>
    <t>AUTORIZACION PAGO 1 DEL CONTRATO 520  DE 2017 - DEL 31-10-2017 AL  30-11-2017. LINEA C- HONORARIOS</t>
  </si>
  <si>
    <t>AUTORIZACION PAGO 2 DEL CONTRATO 520  DE 2017 - DEL 01-12-2017 AL  31-12-2017. LINEA C- HONORARIOS</t>
  </si>
  <si>
    <t>CONTRATO 527 DE 2017 GENNY AMALFFY DIAZ MUÑOZ</t>
  </si>
  <si>
    <t>AUTORIZACION PAGO 1 DEL CONTRATO 527  DE 2017 - DEL 07-11-2017 AL  06-12-2017. LINEA C- HONORARIOS</t>
  </si>
  <si>
    <t>AUTORIZACION PAGO 2 DEL CONTRATO 527  DE 2017 - DEL 07-12-2017 AL  31-12-2017. LINEA C- HONORARIOS</t>
  </si>
  <si>
    <t>CONTRATO 498 DE 2017 - GUSTAVO EDUARDO ARENAS CAMPOS</t>
  </si>
  <si>
    <t>AUTORIZACION PAGO 1 DEL CONTRATO 498  DE 2017 - DEL 19-10-2017 AL 18-11-2017. LINEA C- HONORARIOS</t>
  </si>
  <si>
    <t>AUTORIZACION PAGO 2 DEL CONTRATO 498  DE 2017 - DEL 19-11-2017 AL 18-12-2017. LINEA C- HONORARIOS</t>
  </si>
  <si>
    <t>AUTORIZACION PAGO 3 DEL CONTRATO 498  DE 2017 - DEL 19-12-2017 AL 31-12-2017. LINEA C- HONORARIOS</t>
  </si>
  <si>
    <t>CONTRATO 485 DE 2017 - JORGE IVAN PALACIOS CORTES</t>
  </si>
  <si>
    <t>AUTORIZACION PAGO 1 DEL CONTRATO 485  DE 2017 - DEL 17-10-2017 AL 16-11-2017. LINEA C- HONORARIOS</t>
  </si>
  <si>
    <t>AUTORIZACION PAGO 2 DEL CONTRATO 485  DE 2017 - DEL 17-11-2017 AL 16-12-2017. LINEA C- HONORARIOS</t>
  </si>
  <si>
    <t>AUTORIZACION PAGO 3 DEL CONTRATO 485  DE 2017 - DEL 17-12-2017 AL  31-12-2017. LINEA C- HONORARIOS</t>
  </si>
  <si>
    <t>CONTRATO 514 DE 2017 - RAUL ZAPATA CAICEDO</t>
  </si>
  <si>
    <t>AUTORIZACION DE PAGO 1 CONTRATO 514 DE 2017 - DEL 27-10-2017 AL 26-11-2017 -LINEA C.  HONORARIOS</t>
  </si>
  <si>
    <t>AUTORIZACION DE PAGO 2 CONTRATO 514 DE 2017 - DEL 27-11-2017 AL 26-12-2017 -LINEA C.  HONORARIOS</t>
  </si>
  <si>
    <t>AUTORIZACION DE PAGO 3 CONTRATO 514 DE 2017 - DEL 27-12-2017 AL 31-12-2017 -LINEA C.  HONORARIOS</t>
  </si>
  <si>
    <t>CONTRATO  515 DE 2017 - VIVIANA MARCELA PEDRAZA SERRANO</t>
  </si>
  <si>
    <t>AUTORIZACION DE PAGO 1  DEL CONTRATO 515 DE 2017 - DEL  27/10/2017 AL 26/11/2017. LINEA H. - HONORARIOS</t>
  </si>
  <si>
    <t>AUTORIZACION DE PAGO 2  DEL CONTRATO 515 DE 2017 - DEL  27/11/2017 AL 26/12/2017. LINEA H. - HONORARIOS</t>
  </si>
  <si>
    <t>AUTORIZACION DE PAGO 3  Y ULTIMO  DEL MES DE DICIEMBRE DEL  CONTRATO 515 DE 2017 - DEL  27/12/2017 AL 31/12/2017. LINEA H. - HONORARIOS</t>
  </si>
  <si>
    <t xml:space="preserve">CONTRATO No. 429 DE 2017 COMISION FIDUCIARIA </t>
  </si>
  <si>
    <t>PAGO COMISIÓN FIDUCIARIA MES DE SEPTIEMBRE  DE 2017 FACTURA 26639 ID DEL TERCERO 0010207664</t>
  </si>
  <si>
    <t>PAGO COMISION FIDUCIARIA MES DE OCTUBRE  DE 2017 FACTURA 26750 ID DEL TERCERO 0010207664</t>
  </si>
  <si>
    <t>PAGO COMISION FIDUCIARIA MES DE NOVIEMBRE  DE 2017 FACTURA 27015 ID DEL TERCERO 0010279233</t>
  </si>
  <si>
    <t>PAGO COMISION FIDUCIARIA MES DE DICIEMBRE  DE 2017 FACTURA No.    27226 ID DEL TERCERO 0010279233</t>
  </si>
  <si>
    <t>PAGO COMISION FIDUCIARIA MES DE ENERO DE 2018 FACTURA No.27486  ID DEL TERCERO 0010279233</t>
  </si>
  <si>
    <t>PAGO COMISION FIDUCIARIA MES DE FEBRERO DE 2018 FACTURA No.27679  ID DEL TERCERO 0010279233</t>
  </si>
  <si>
    <t>PAGO COMISION FIDUCIARIA MES DE MARZO DE 2018 FACTURA No.27949  ID DEL TERCERO 0010279233</t>
  </si>
  <si>
    <t>PAGO COMISION FIDUCIARIA MES DE ABRIL DE 2018 FACTURA No.28195  ID DEL TERCERO 0010279233</t>
  </si>
  <si>
    <t>PAGO COMISION FIDUCIARIA MES DE MAYO DE 2018 FACTURA No.28404  ID DEL TERCERO 0010279233</t>
  </si>
  <si>
    <t>PAGO COMISION FIDUCIARIA MES DE JUNIO DE 2018 FACTURA No.28633  ID DEL TERCERO 0010279233</t>
  </si>
  <si>
    <t>PAGO COMISION FIDUCIARIA MES DE JULIO DE 2018 FACTURA No.28905  ID DEL TERCERO 0010279233</t>
  </si>
  <si>
    <t>PAGO COMISION FIDUCIARIA MES DE AGOSTO DE 2018 FACTURA No.29145  ID DEL TERCERO 0010279233</t>
  </si>
  <si>
    <t>PAGO COMISION FIDUCIARIA MES DE SEPTIEMBRE DE 2018 FACTURA No.29438  ID DEL TERCERO 0010279233 ARTICULO 117</t>
  </si>
  <si>
    <t>PAGO COMISION FIDUCIARIA MES DE OCTUBRE DE 2018 FACTURA No.29611  ID DEL TERCERO 0010279233 ARTICULO 117</t>
  </si>
  <si>
    <t>PAGO COMISION FIDUCIARIA MES DE NOVIEMBRE DE 2018 FACTURA No.29961  ID DEL TERCERO 0010279233 ARTICULO 117</t>
  </si>
  <si>
    <t>PAGO COMISION FIDUCIARIA MES DE DICIEMBRE DE 2018 FACTURA No.30283  ID DEL TERCERO 0010279233 ARTICULO 117</t>
  </si>
  <si>
    <t>PAGO COMISION FIDUCIARIA MES DE ENERO DE 2019 FACTURA No.205  ID DEL TERCERO 0010279233 ARTICULO 117</t>
  </si>
  <si>
    <t>PAGO COMISION FIDUCIARIA MES DE FEBRERO DE 2019 FACTURA No.529  ID DEL TERCERO 0010279233 ARTICULO 117</t>
  </si>
  <si>
    <t>PAGO COMISION FIDUCIARIA MES DE MARZO DE 2019 FACTURA No.862  ID DEL TERCERO 0010279233 ARTICULO 117</t>
  </si>
  <si>
    <t>PAGO COMISION FIDUCIARIA MES DE ABRIL DE 2019 FACTURA No.1060  ID DEL TERCERO 0010279233 ARTICULO 117</t>
  </si>
  <si>
    <t>PAGO COMISION FIDUCIARIA MES DE MAYO  DE 2019 FACTURA No.1415  ID DEL TERCERO 0010279233 ARTICULO 117</t>
  </si>
  <si>
    <t>PAGO COMISION FIDUCIARIA MES DE JUNIO  DE 2019 FACTURA No.1727  ID DEL TERCERO 0010279233 ARTICULO 117</t>
  </si>
  <si>
    <t>TRASLADO COMISION FIDUCIARIA MES DE JULIO DE 2019 FACTURA No.2098 Y NOTA CREDITO 02174 CAUSADAS EN EL AP481 SEGÚN RECEPCIONES 879 ID DEL TERCERO 0010342021 ARTICULO 409</t>
  </si>
  <si>
    <t>PAGO COMISION FIDUCIARIA MES DE AGOSTO DE 2019 FACTURA 2439 CAUSADA UN 481 VOUCHER 1090 DE 30-08-2019  ID DEL TERCERO 0010279233 ART. 409</t>
  </si>
  <si>
    <t>CONTRATO 565 /2017  GUILLERMO EDUARDO RAFAEL LOMBANA</t>
  </si>
  <si>
    <t>AUTORIZACION DE PAGO 1  CONTRATO 565 DE 2017 - DEL 24-11-2017 AL 31-12-2017 FACTURA 1644,-LINEA B.  HONORARIOS</t>
  </si>
  <si>
    <t>CONTRATO 028 DE 2018 ALIX DEL PILAR SEPULVEDA CARRASCAL</t>
  </si>
  <si>
    <t>AUTORIZACION DE PAGO 1 CONTRATO 028 DE 2018 - DEL 15-01-2018 AL 14-02-2018 -LINEA H.  HONORARIOS</t>
  </si>
  <si>
    <t>AUTORIZACION DE PAGO 2 CONTRATO 028 DE 2018 - DEL 15-02-2018 AL 14-03-2018 -LINEA H.  HONORARIOS</t>
  </si>
  <si>
    <t>AUTORIZACIÓN DE PAGO 3 CONTRATO 028 DE 2018 - DEL 15-03-2018 AL 14-04-2018 -LINEA H.  HONORARIOS</t>
  </si>
  <si>
    <t>AUTORIZACION DE PAGO 4 CONTRATO 028 DE 2018 - DEL 15-04-2018 AL 14-05-2018 -LINEA H.  HONORARIOS</t>
  </si>
  <si>
    <t>AUTORIZACION DE PAGO 5 CONTRATO 028 DE 2018 - DEL 15-05-2018 AL 14-06-2018 -LINEA H.  HONORARIOS</t>
  </si>
  <si>
    <t>AUTORIZACION DE PAGO 6 CONTRATO 028 DE 2018 - DEL 15-06-2018 AL 14-07-2018 -LINEA H.  HONORARIOS</t>
  </si>
  <si>
    <t>AUTORIZACIÓN DE PAGO 7 CONTRATO 028 DE 2018 - DEL 15-07-2018 AL 14-08-2018 -LINEA H.  HONORARIOS</t>
  </si>
  <si>
    <t>AUTORIZACION DE PAGO 8 CONTRATO 028 DE 2018 - DEL 15-08-2018 AL 14-09-2018 -LINEA H.  HONORARIOS-ART No.235</t>
  </si>
  <si>
    <t>AUTORIZACIÓN DE PAGO 9 CONTRATO 028 DE 2018 - DEL 15-09-2018 AL 14-10-2018 -LINEA H.  HONORARIOS-ART No.235</t>
  </si>
  <si>
    <t>AUTORIZACION DE PAGO 10 CONTRATO 028 DE 2018 - DEL 15-10-2018 AL 14-11-2018 -LINEA H.  HONORARIOS-ART No.235</t>
  </si>
  <si>
    <t>AUTORIZACION DE PAGO 11 CONTRATO 028 DE 2018 - DEL 15-11-2018 AL 04-12-2018 -LINEA H.  HONORARIOS-ART No.235</t>
  </si>
  <si>
    <t>SALDOS LIBERADO</t>
  </si>
  <si>
    <t>CONTRATO  037 DE 2018- HECTOR MANUEL HERNANDEZ CEDEÑO</t>
  </si>
  <si>
    <t>AUTORIZACION DE PAGO 1 CONTRATO 037  DE 2018 - DEL 16-01-2018 AL 15-02-2018 -LINEA C.  HONORARIOS</t>
  </si>
  <si>
    <t>AUTORIZACION DE PAGO 2 CONTRATO 037  DE 2018 - DEL 16-02-2018 AL 15-03-2018 -LINEA C.  HONORARIOS</t>
  </si>
  <si>
    <t>AUTORIZACION DE PAGO 1  DEL CONTRATO 037  DE 2018 - POR DESPLAZAMIENTO- LINEA C BENEFICIARIO DEL PAGO CUMPLE Y ANEXA LA DOCUMENTACION PERTINENTE PARA NO APLICAR LA RETENCION.</t>
  </si>
  <si>
    <t>AUTORIZACION DE PAGO 3 CONTRATO 037  DE 2018 - DEL 16-03-2018 AL 15-04-2018 -LINEA C.  HONORARIOS</t>
  </si>
  <si>
    <t>AUTORIZACION DE PAGO 4 CONTRATO 037  DE 2018 - DEL 16-04-2018 AL 15-05-2018 -LINEA C.  HONORARIOS</t>
  </si>
  <si>
    <t>AUTORIZACION DE PAGO 5 CONTRATO 037  DE 2018 - DEL 16-05-2018 AL 15-06-2018 -LINEA C.  HONORARIOS</t>
  </si>
  <si>
    <t>AUTORIZACION DE PAGO 6 CONTRATO 037  DE 2018 - DEL 16-06-2018 AL 15-07-2018 -LINEA C.  HONORARIOS</t>
  </si>
  <si>
    <t>AUTORIZACIÓN DE PAGO 7 CONTRATO 037  DE 2018 - DEL 16-07-2018 AL 15-08-2018 -LINEA C.  HONORARIOS</t>
  </si>
  <si>
    <t>AUTORIZACION DE PAGO 8 CONTRATO 037  DE 2018 - DEL 16-08-2018 AL 15-09-2018 -LINEA C.  HONORARIOS ART,235</t>
  </si>
  <si>
    <t>AUTORIZACION DE PAGO 2  DEL CONTRATO 037  DE 2018 - POR DESPLAZAMIENTO- LINEA C BENEFICIARIO DEL PAGO CUMPLE Y ANEXA LA DOCUMENTACION PERTINENTE PARA NO APLICAR LA RETENCION.</t>
  </si>
  <si>
    <t>AUTORIZACION DE PAGO 3  DEL CONTRATO 037  DE 2018 - POR DESPLAZAMIENTO del 16-09-2018 al 15-10-2018- LINEA C BENEFICIARIO DEL PAGO CUMPLE Y ANEXA LA DOCUMENTACION PERTINENTE PARA NO APLICAR LA RETENCION.</t>
  </si>
  <si>
    <t>AUTORIZACION DE PAGO 9 CONTRATO 037  DE 2018 - DEL 16-09-2018 AL 15-10-2018 -LINEA C.  HONORARIOS ART,235</t>
  </si>
  <si>
    <t>AUTORIZACION DE PAGO 10 CONTRATO 037  DE 2018 - DEL 16-10-2018 AL 15-11-2018 -LINEA C.  HONORARIOS ART,235</t>
  </si>
  <si>
    <t>AUTORIZACION DE PAGO 11 CONTRATO 037  DE 2018 - DEL 16-11-2018 AL 15-12-2018 -LINEA C.  HONORARIOS ART,235</t>
  </si>
  <si>
    <t>AUTORIZACION DE PAGO 12 CONTRATO 037  DE 2018 - DEL 16-12-2018 AL 30-12-2018 -LINEA C.  HONORARIOS ART,235</t>
  </si>
  <si>
    <t xml:space="preserve">CONTRATO 009 DE 2018 JULIAN DAVID PEÑA MARTINEZ </t>
  </si>
  <si>
    <t>AUTORIZACION PAGO 1 DEL CONTRATO 009 DE 2018 - DEL 03-01-2018 AL 02-02-2018. LINEA H-HONORARIOS</t>
  </si>
  <si>
    <t>AUTORIZACIÓN PAGO 2 DEL CONTRATO 009 DE 2018 - DEL 03-02-2018 AL 02-03-2018. LINEA H-HONORARIOS</t>
  </si>
  <si>
    <t>AUTORIZACIÓN PAGO 3 DEL CONTRATO 009 DE 2018 - DEL 03-03-2018 AL 02-04-2018. LINEA H-HONORARIOS</t>
  </si>
  <si>
    <t>AUTORIZACION PAGO 4  DEL CONTRATO 009 DE 2018 - DEL 03-04-2018 AL 19-04-2018. 17 DIAS LINEA H-HONORARIOS/ AUTORIZACION PAGO 4  DEL CONTRATO 009 DE 2018 - DEL 20-04-2018 AL 02-05-2018 13 DIAS . LINEA H-HONORARIOS</t>
  </si>
  <si>
    <t>AUTORIZACION PAGO 5  DEL CONTRATO 009 DE 2018 - DEL 03-05-2018 AL 02-06-2018. LINEA H-HONORARIOS. LINEA H-HONORARIOS</t>
  </si>
  <si>
    <t>AUTORIZACION PAGO 6  DEL CONTRATO 009 DE 2018 - DEL 03-06-2018 AL 02-07-2018. LINEA H-HONORARIOS. LINEA H-HONORARIOS</t>
  </si>
  <si>
    <t>AUTORIZACION PAGO 7  DEL CONTRATO 009 DE 2018 - DEL 03-07-2018 AL 02-08-2018. LINEA H-HONORARIOS. LINEA H-HONORARIOS</t>
  </si>
  <si>
    <t>AUTORIZACION PAGO 8  DEL CONTRATO 009 DE 2018 - DEL 03-08-2018 AL 02-09-2018. LINEA H-HONORARIOS. LINEA H-HONORARIOS-ART-No.235</t>
  </si>
  <si>
    <t>AUTORIZACION PAGO 9  DEL CONTRATO 009 DE 2018 - DEL 03-09-2018 AL 02-10-2018. LINEA H-HONORARIOS. LINEA H-HONORARIOS-ART-No.235</t>
  </si>
  <si>
    <t>AUTORIZACION PAGO 10  DEL CONTRATO 009 DE 2018 - DEL 03-10-2018 AL 02-11-2018. LINEA H-HONORARIOS. LINEA H-HONORARIOS-ART-No.235</t>
  </si>
  <si>
    <t>AUTORIZACION PAGO 11  DEL CONTRATO 009 DE 2018 - DEL 03-11-2018 AL 02 -12-2018. LINEA H-HONORARIOS.-ART-No.235</t>
  </si>
  <si>
    <t>AUTORIZACION DE PAGO 12  CONTRATO 009  DE 2018 - DEL 03-12-2018 AL 31-12-2018 - LINEA H. HONORARIOS ART. 235</t>
  </si>
  <si>
    <t>CONTRATO 029 DE 2018 SONIA CLARENA ORJUELA PARRA</t>
  </si>
  <si>
    <t>AUTORIZACION DE PAGO 1 CONTRATO 029 DE 2018 - DEL 15-01-2018 AL 14/02-2018  FACTURA No 084 -LINEA A.  HONORARIOS</t>
  </si>
  <si>
    <t>AUTORIZACION PAGO 1 DEL CONTRATO 029 DE 2018 - NO HACE PARTE DE LOS INGRESOS Y EL REEMBOLSO SE ENCUENTRA INCLUIDO DENTRO DEL CONTRATO ,CUMPLE CON TODA LA DOCUMENTACION REQUERIDA -NO APLICAR RETENCIONES</t>
  </si>
  <si>
    <t>AUTORIZACION PAGO 2 DEL CONTRATO 029 DE 2018 -  DEL 15/02/201/ AL 14/03/2018 . NO HACE PARTE DE LOS INGRESOS Y EL REEMBOLSO SE ENCUENTRA INCLUIDO DENTRO DEL CONTRATO ,CUMPLE CON TODA LA DOCUMENTACION REQUERIDA -NO APLICAR RETENCIONES</t>
  </si>
  <si>
    <t>AUTORIZACION PAGO 2 DEL CONTRATO 029  DE 2018 - DEL 15-02-2018 AL  14-03-2018. LINEA A- HONORARIOS</t>
  </si>
  <si>
    <t>AUTORIZACION DE PAGO 3 CONTRATO 029 DE 2018 - DEL 15-03-2018 AL 14/04-2018  FACTURA No . 92-LINEA A.  HONORARIOS</t>
  </si>
  <si>
    <t>AUTORIZACION PAGO 3 DEL CONTRATO 029 DE 2018 -  DEL 15/03/201/ AL 14/04/2018 . Fact. 90.  NO HACE PARTE DE LOS INGRESOS Y EL REEMBOLSO SE ENCUENTRA INCLUIDO DENTRO DEL CONTRATO ,CUMPLE CON TODA LA DOCUMENTACION REQUERIDA -NO APLICAR RETENCIONES</t>
  </si>
  <si>
    <t>AUTORIZACION DE PAGO 4 CONTRATO 029 DE 2018 - DEL 15-04-2018 AL 14-05-2018  FACTURA No . 94-LINEA A.  HONORARIOS</t>
  </si>
  <si>
    <t>AUTORIZACION PAGO 4 DEL CONTRATO 029 DE 2018 -  DEL 15/04/201/ AL 14/05/2018 . Fact. 95.  NO HACE PARTE DE LOS INGRESOS Y EL REEMBOLSO SE ENCUENTRA INCLUIDO DENTRO DEL CONTRATO ,CUMPLE CON TODA LA DOCUMENTACION REQUERIDA -NO APLICAR RETENCIONES</t>
  </si>
  <si>
    <t>AUTORIZACION PAGO 5 DEL CONTRATO 029 DE 2018 -  DEL 15/05/201/ AL 14/06/2018 . Fact. 99.  NO HACE PARTE DE LOS INGRESOS Y EL REEMBOLSO SE ENCUENTRA INCLUIDO DENTRO DEL CONTRATO ,CUMPLE CON TODA LA DOCUMENTACION REQUERIDA -NO APLICAR RETENCIONES</t>
  </si>
  <si>
    <t>AUTORIZACION DE PAGO 5 CONTRATO 029 DE 2018 - DEL 15-05-2018 AL 14-06-2018  FACTURA No .098    -LINEA A.  HONORARIOS</t>
  </si>
  <si>
    <t>AUTORIZACION PAGO 6 DEL CONTRATO 029 DE 2018 -  DEL 15/06/201/ AL 14/07/2018 . Fact.072  NO HACE PARTE DE LOS INGRESOS Y EL REEMBOLSO SE ENCUENTRA INCLUIDO DENTRO DEL CONTRATO ,CUMPLE CON TODA LA DOCUMENTACION REQUERIDA -NO APLICAR RETENCIONES</t>
  </si>
  <si>
    <t>AUTORIZACIÓN DE PAGO  6 CONTRATO 029 DE 2018 - DEL 15-06-2018 AL 14-07-2018  FACTURA No 093. -LINEA A.  HONORARIOS</t>
  </si>
  <si>
    <t>AUTORIZACIÓN DE PAGO  7 CONTRATO 029 DE 2018 - DEL 15-07-2018 AL 14-08-2018  FACTURA No 102 . -LINEA A.  HONORARIOS</t>
  </si>
  <si>
    <t>AUTORIZACION PAGO 7 DEL CONTRATO 029 DE 2018 -  DEL 15/08/201/ AL 14/09/2018 . Fact.105    NO HACE PARTE DE LOS INGRESOS Y EL REEMBOLSO SE ENCUENTRA INCLUIDO DENTRO DEL CONTRATO ,CUMPLE CON TODA LA DOCUMENTACION REQUERIDA -NO APLICAR RETENCIONES</t>
  </si>
  <si>
    <t>AUTORIZACION DE PAGO  8 CONTRATO 029 DE 2018 - DEL 15-08-2018 AL 14-09-2018  FACTURA No.104 . -LINEA A.  HONORARIOS-ART No.235</t>
  </si>
  <si>
    <t>AUTORIZACION DE PAGO  9 CONTRATO 029 DE 2018 - DEL 15-09-2018 AL 14-10-2018  FACTURA No   109  . -LINEA A.  HONORARIOS-ART No.235</t>
  </si>
  <si>
    <t>AUTORIZACION DE PAGO  10  CONTRATO 029 DE 2018 - DEL 15-10-2018 AL 14-11-2018  FACTURA No   111  . -LINEA A.  HONORARIOS-ART No.235</t>
  </si>
  <si>
    <t>AUTORIZACION PAGO 8 DEL CONTRATO 029 DE 2018 -  DEL 15/10/201/ AL 14/11/2018 . Fact.110    NO HACE PARTE DE LOS INGRESOS Y EL REEMBOLSO SE ENCUENTRA INCLUIDO DENTRO DEL CONTRATO ,CUMPLE CON TODA LA DOCUMENTACION REQUERIDA -NO APLICAR RETENCIONES</t>
  </si>
  <si>
    <t>AUTORIZACION DE PAGO  11  CONTRATO 029 DE 2018 - DEL 15-11-2018 AL 14-12-2018  FACTURA No   114  . -LINEA A.  HONORARIOS-ART No.235</t>
  </si>
  <si>
    <t>AUTORIZACION DE PAGO 12  CONTRATO 029  DE 2018 - DEL 15-12-2018 AL 29-12-2018 - LINEA A.  HONORARIOS ART. 235</t>
  </si>
  <si>
    <t>CONTRATO 235 DE 2018 PATRICIA DUQUE CRUZ</t>
  </si>
  <si>
    <t>AUTORIZACIÓN DE PAGO 1 CONTRATO 235 DE 2018 - DEL 25-01-2018 AL 24-02-2018   -LINEA H.  HONORARIOS</t>
  </si>
  <si>
    <t>AUTORIZACION DE PAGO 2 CONTRATO 235 DE 2018 - DEL 25-02-2018 AL 24-03-2018   -LINEA H.  HONORARIOS</t>
  </si>
  <si>
    <t>AUTORIZACIÓN DE PAGO 3 CONTRATO 235 DE 2018 - DEL 25-03-2018 AL 24-04-2018   -LINEA H.  HONORARIOS</t>
  </si>
  <si>
    <t>AUTORIZACION DE PAGO 4 CONTRATO 235 DE 2018 - DEL 25-04-2018 AL 24-05-2018   -LINEA H.  HONORARIOS</t>
  </si>
  <si>
    <t>AUTORIZACION DE PAGO 5 CONTRATO 235 DE 2018 - DEL 25-05-2018 AL 24-06-2018   -LINEA H.  HONORARIOS</t>
  </si>
  <si>
    <t>AUTORIZACION DE PAGO 6 CONTRATO 235 DE 2018 - DEL 25-06-2018 AL 24-07-2018   -LINEA H.  HONORARIOS</t>
  </si>
  <si>
    <t>AUTORIZACION DE PAGO 7 CONTRATO 235 DE 2018 - DEL 25-07-2018 AL 24-08-2018   -LINEA H.  HONORARIOS</t>
  </si>
  <si>
    <t xml:space="preserve">CONTRATO 383 DE 2018 DIEGO MAURICIO GUERRERO </t>
  </si>
  <si>
    <t>AUTORIZACION DE PAGO 1 DEL  CONTRATO 383   DE 2018 - DEL 29-01-2018 AL 28-02-2018 - LINEA H.  HONORARIOS</t>
  </si>
  <si>
    <t>AUTORIZACION DE PAGO 2 DEL  CONTRATO 383   DE 2018 - DEL 01/03/2018 AL 31/03/2018 - LINEA H.  HONORARIOS</t>
  </si>
  <si>
    <t>AUTORIZACION DE PAGO 3 DEL  CONTRATO 383   DE 2018 - DEL 01/04/2018 AL 30/04/2018 - LINEA H.  HONORARIOS</t>
  </si>
  <si>
    <t>AUTORIZACION DE PAGO 4  DEL  CONTRATO 383   DE 2018 - DEL 01/05/2018 AL 31/05/2018 - LINEA H.  HONORARIOS</t>
  </si>
  <si>
    <t>AUTORIZACION DE PAGO 5  DEL  CONTRATO 383   DE 2018 - DEL 01/06/2018 AL 30/06/2018 - LINEA H.  HONORARIOS</t>
  </si>
  <si>
    <t>AUTORIZACION DE PAGO 6  DEL  CONTRATO 383   DE 2018 - DEL 01/07/2018 AL 31/07/2018 - LINEA H.  HONORARIOS</t>
  </si>
  <si>
    <t>AUTORIZACION DE PAGO 7  DEL  CONTRATO 383   DE 2018 - DEL 01/08/2018 AL 31/08/2018 - LINEA H.  HONORARIOS ART. 235</t>
  </si>
  <si>
    <t xml:space="preserve">CONTRATO 286 DE 2018 GENNY AMALFFY DIAZ MUÑOZ </t>
  </si>
  <si>
    <t>AUTORIZACIÓN PAGO 1 DEL CONTRATO 286  DE 2018 - DEL 26-01-2018 AL  25-02-2018. LINEA C- HONORARIOS</t>
  </si>
  <si>
    <t>AUTORIZACION PAGO 2 DEL CONTRATO 286  DE 2018 - DEL 26-02-2018 AL  25-03-2018. LINEA C- HONORARIOS CONTINUIDAD RADICADO 20180320935862</t>
  </si>
  <si>
    <t>AUTORIZACIÓN PAGO 3  DEL CONTRATO 286  DE 2018 - DEL 26-03-2018  AL  25-04-2018. LINEA C- HONORARIOS</t>
  </si>
  <si>
    <t>AUTORIZACION PAGO 4  DEL CONTRATO 286  DE 2018 - DEL 26-04-2018  AL  25-05-2018. LINEA C- HONORARIOS</t>
  </si>
  <si>
    <t>AUTORIZACIÓN PAGO 5 DEL CONTRATO 286  DE 2018 - DEL 26-05-2018  AL  25-06-2018. LINEA C- HONORARIOS</t>
  </si>
  <si>
    <t>AUTORIZACION PAGO 1  DESPLAZAMIENTOS DEL CONTRATO 286 DE 2018 -  DEL 26-05-2018 AL 25-06-2018 . NO HACE PARTE DE LOS INGRESOS Y EL REEMBOLSO SE ENCUENTRA INCLUIDO DENTRO DEL CONTRATO ,CUMPLE CON TODA LA DOCUMENTACION REQUERIDA -NO APLICAR RETENCIONES</t>
  </si>
  <si>
    <t>AUTORIZACION PAGO 6 DEL CONTRATO 286  DE 2018 - DEL 26-06-2018  AL  25-07-2018. LINEA C- HONORARIOS</t>
  </si>
  <si>
    <t>AUTORIZACION PAGO 2  DESPLAZAMIENTOS DEL CONTRATO 286 DE 2018 -  DEL 26-07-2018 AL 25-08-2018 . NO HACE PARTE DE LOS INGRESOS Y EL REEMBOLSO SE ENCUENTRA INCLUIDO DENTRO DEL CONTRATO ,CUMPLE CON TODA LA DOCUMENTACION REQUERIDA -</t>
  </si>
  <si>
    <t>AUTORIZACION PAGO 7 DEL CONTRATO 286  DE 2018 - DEL 26-07-2018  AL  25-08-2018. LINEA C- HONORARIOS ART. 235</t>
  </si>
  <si>
    <t>CONTRATO 259 DE 2018 VIVIANA MARCELA PEDRAZA</t>
  </si>
  <si>
    <t>AUTORIZACION DE PAGO 1  DEL CONTRATO 259 DE 2018 - DEL  25/01/2018 AL 24/02/2018. LINEA H. - HONORARIOS</t>
  </si>
  <si>
    <t>AUTORIZACION DE PAGO 2  DEL CONTRATO 259 DE 2018 - DEL  25/02/2018 AL 24/03/2018. LINEA H. - HONORARIOS</t>
  </si>
  <si>
    <t>AUTORIZACION DE PAGO 3  DEL CONTRATO 259 DE 2018 - DEL  25/03/2018 AL 24/04/2018. LINEA H. - HONORARIOS</t>
  </si>
  <si>
    <t>AUTORIZACION DE PAGO 4  DEL CONTRATO 259 DE 2018 - DEL  25/04/2018 AL 24/05/2018. LINEA H. - HONORARIOS</t>
  </si>
  <si>
    <t>AUTORIZACIÓN DE PAGO 5  DEL CONTRATO 259 DE 2018 - DEL  25/05/2018 AL 24/06/2018. LINEA H. - HONORARIOS</t>
  </si>
  <si>
    <t>AUTORIZACION DE PAGO 6  DEL CONTRATO 259 DE 2018 - DEL  25/06/2018 AL 24/07/2018. LINEA H. - HONORARIOS</t>
  </si>
  <si>
    <t>AUTORIZACION DE PAGO 7  DEL CONTRATO 259 DE 2018 - DEL  25/07/2018 AL 24/08/2018. LINEA H. - HONORARIOS</t>
  </si>
  <si>
    <t>CONTRATO 049 DE 2018 JORGE IVAN PALACIOS CORTES</t>
  </si>
  <si>
    <t>AUTORIZACION DE PAGO 1 DEL  CONTRATO 049 DE 2018 - DEL 17-01-2018 AL 16-02-2018 - LINEA C  HONORARIOS</t>
  </si>
  <si>
    <t>AUTORIZACIÓN DE PAGO 2 DEL  CONTRATO 049 DE 2018 - DEL 17-02-2018 AL 16-03-2018 - LINEA C  HONORARIOS</t>
  </si>
  <si>
    <t>AUTORIZACION DE PAGO 3 DEL  CONTRATO 049 DE 2018 - DEL 17-03-2018 AL 16-04-2018 - LINEA C  HONORARIOS</t>
  </si>
  <si>
    <t>AUTORIZACION DE PAGO 4 DEL  CONTRATO 049 DE 2018 - DEL 17-04-2018 AL 16-05-2018 - LINEA C  HONORARIOS</t>
  </si>
  <si>
    <t>AUTORIZACION DE PAGO 5 DEL  CONTRATO 049 DE 2018 - DEL 17-05-2018 AL 16-06-2018 - LINEA C  HONORARIOS</t>
  </si>
  <si>
    <t>AUTORIZACION DE PAGO 6 DEL  CONTRATO 049 DE 2018 - DEL 17-06-2018 AL 16-07-2018 - LINEA C  HONORARIOS</t>
  </si>
  <si>
    <t>AUTORIZACIÓN DE PAGO 7 DEL  CONTRATO 049 DE 2018 - DEL 17-07-2018 AL 16-08-2018 - LINEA C  HONORARIOS</t>
  </si>
  <si>
    <t>AUTORIZACIÓN DE PAGO 8 DEL  CONTRATO 049 DE 2018 - DEL 17-08-2018 AL 16-09-2018 - LINEA C  HONORARIOS-ART. 235</t>
  </si>
  <si>
    <t>AUTORIZACION DE PAGO 9 DEL  CONTRATO 049 DE 2018 - DEL 17-09-2018 AL 16-10-2018 - LINEA C  HONORARIOS-ART. 235</t>
  </si>
  <si>
    <t>AUTORIZACION DE PAGO 10 DEL  CONTRATO 049 DE 2018 - DEL 17-10-2018 AL 16-11-2018 - LINEA C  HONORARIOS-ART. 235</t>
  </si>
  <si>
    <t>AUTORIZACION DE PAGO 11 DEL  CONTRATO 049 DE 2018 - DEL 17-11-2018 AL 16-12-2018 - LINEA C  HONORARIOS-ART. 235</t>
  </si>
  <si>
    <t>AUTORIZACION DE PAGO 12 DEL  CONTRATO 049 DE 2018 - DEL 17-12-2018 AL 31 -12-2018 - LINEA C  HONORARIOS-ART. 235</t>
  </si>
  <si>
    <t>CONTRATO 352 DE 2018 LUIS JAVIER BONILLA PINILLA</t>
  </si>
  <si>
    <t>AUTORIZACIÓN DE PAGO 1 DEL  CONTRATO 352  DE 2018 - DEL 29-01-2018 AL 28-02-2018 - LINEA G.  HONORARIOS</t>
  </si>
  <si>
    <t>AUTORIZACION DE PAGO 2 DEL  CONTRATO 352  DE 2018 - DEL 01-03-2018 AL 31/03-2018 - LINEA G.  HONORARIOS</t>
  </si>
  <si>
    <t>AUTORIZACION DE PAGO 3 DEL  CONTRATO 352  DE 2018 - DEL 01-04-2018 AL 30/04-2018 - LINEA G.  HONORARIOS</t>
  </si>
  <si>
    <t>AUTORIZACION DE PAGO 4 DEL  CONTRATO 352  DE 2018 - DEL 01-05-2018 AL 31-05-2018 - LINEA G.  HONORARIOS</t>
  </si>
  <si>
    <t>AUTORIZACIÓN DE PAGO 5 DEL  CONTRATO 352  DE 2018 - DEL 01-06-2018 AL 30-06-2018 - LINEA G.  HONORARIOS</t>
  </si>
  <si>
    <t>AUTORIZACION DE PAGO 6 DEL  CONTRATO 352  DE 2018 - DEL 01-07-2018 AL 31-07-2018 - LINEA G.  HONORARIOS</t>
  </si>
  <si>
    <t>AUTORIZACIÓN DE PAGO 7 DEL  CONTRATO 352  DE 2018 - DEL 01-08-2018 AL 31-08-2018 - LINEA G.  HONORARIOS</t>
  </si>
  <si>
    <t>CONTRATO 192 DE 2018 MARIA ALEJANDRA SANTOS YEPES</t>
  </si>
  <si>
    <t>AUTORIZACIÓN DE PAGO 1 CONTRATO 192  DE 2018 - DEL 24-01-2018 AL 23-02-2018 - LINEA C.  HONORARIOS</t>
  </si>
  <si>
    <t>AUTORIZACIÓN DE PAGO 2  DEL CONTRATO  192  DE 2018 - DEL 24-02-2018 AL 23-03-2018 - LINEA C.  HONORARIOS</t>
  </si>
  <si>
    <t>AUTORIZACION DE PAGO 3  CONTRATO 192  DE 2018 - DEL 24-03-2018 AL 23-04-2018 - LINEA C.  HONORARIOS</t>
  </si>
  <si>
    <t>AUTORIZACION DE PAGO 4  CONTRATO 192  DE 2018 - DEL 24-04-2018 AL 23-05-2018 - LINEA C.  HONORARIOS</t>
  </si>
  <si>
    <t>AUTORIZACION DE PAGO 5  CONTRATO 192  DE 2018 - DEL 24-05-2018 AL 23-06-2018 - LINEA C.  HONORARIOS</t>
  </si>
  <si>
    <t>AUTORIZACION DE PAGO 6  CONTRATO 192  DE 2018 - DEL 24-06-2018 AL 23-07-2018 - LINEA C.  HONORARIOS</t>
  </si>
  <si>
    <t>AUTORIZACION DE PAGO 7  CONTRATO 192  DE 2018 - DEL 24-07-2018 AL 23-08-2018 - LINEA C.  HONORARIOS</t>
  </si>
  <si>
    <t>AUTORIZACION DE PAGO 8  CONTRATO 192  DE 2018 - DEL 24-08-2018 AL 23-09-2018 - LINEA C.  HONORARIOS ART. 235</t>
  </si>
  <si>
    <t>AUTORIZACION DE PAGO 9  CONTRATO 192  DE 2018 - DEL 24-09-2018 AL 23-10-2018 - LINEA C.  HONORARIOS ART. 235</t>
  </si>
  <si>
    <t>AUTORIZACION DE PAGO 10  CONTRATO 192  DE 2018 - DEL 24-10-2018 AL 23-11-2018 - LINEA C.  HONORARIOS ART. 235</t>
  </si>
  <si>
    <t>AUTORIZACION DE PAGO 11  CONTRATO 192  DE 2018 - DEL 24-11-2018 AL 23-12-2018 - LINEA C.  HONORARIOS ART. 235</t>
  </si>
  <si>
    <t>CONTRATO 246 DE 2018 ADOLFO LEON TRIANA GOMEZ</t>
  </si>
  <si>
    <t>AUTORIZACION DE PAGO 1 DEL  CONTRATO 246 DE 2018 - DEL 31-01-2018 AL 28-02-2018 - LINEA C  HONORARIOS</t>
  </si>
  <si>
    <t>AUTORIZACION DE PAGO 2 DEL  CONTRATO 246 DE 2018 - DEL 01-03-2018 AL 31-03-2018 - LINEA C  HONORARIOS</t>
  </si>
  <si>
    <t>AUTORIZACION DE PAGO 3 DEL  CONTRATO 246 DE 2018 - DEL 01-04-2018 AL 30-04-2018 - LINEA C  HONORARIOS</t>
  </si>
  <si>
    <t>AUTORIZACION DE PAGO 4 DEL  CONTRATO 246 DE 2018 - DEL 01-05-2018 AL 31-05-2018 - LINEA C  HONORARIOS</t>
  </si>
  <si>
    <t>AUTORIZACION DE PAGO 5 DEL  CONTRATO 246 DE 2018 - DEL 01-06-2018 AL 30-06-2018 - LINEA C  HONORARIOS</t>
  </si>
  <si>
    <t>AUTORIZACIÓN DE PAGO 6  DEL  CONTRATO 246 DE 2018 - DEL 01-07-2018 AL 31-07-2018 - LINEA C  HONORARIOS</t>
  </si>
  <si>
    <t>AUTORIZACION DE PAGO 7  DEL  CONTRATO 246 DE 2018 - DEL 01-08-2018 AL 31-08-2018 - LINEA C  HONORARIOS -ART No.235</t>
  </si>
  <si>
    <t>AUTORIZACION DE PAGO 8  DEL  CONTRATO 246 DE 2018 - DEL 01-09-2018 AL 30-09-2018 - LINEA C  HONORARIOS -ART No.235</t>
  </si>
  <si>
    <t>AUTORIZACION DE PAGO 9  DEL  CONTRATO 246 DE 2018 - DEL 01-10-2018 AL 31-10-2018 - LINEA C  HONORARIOS -ART No.235</t>
  </si>
  <si>
    <t>AUTORIZACIÓN DE PAGO 10   DEL  CONTRATO 246 DE 2018 - DEL 01-11-2018 AL 30-11-2018 - LINEA C  HONORARIOS -ART No.235</t>
  </si>
  <si>
    <t>AUTORIZACION DE PAGO 11   DEL  CONTRATO 246 DE 2018 - DEL 01-12-2018 AL 31-12-2018 - LINEA C  HONORARIOS -ART No.235</t>
  </si>
  <si>
    <t>CONTRATO 185 DE 2018 CARMEN LUCIA LOPEZ FRANCO</t>
  </si>
  <si>
    <t>AUTORIZACIÓN DE PAGO 1 DEL  CONTRATO 185  DE 2018 - DEL 01-02-2018 AL 28-02-2018 - LINEA H.  HONORARIOS</t>
  </si>
  <si>
    <t>AUTORIZACION DE PAGO 2 DEL  CONTRATO 185  DE 2018 - DEL 01-03-2018 AL 31-03-2018 - LINEA H.  HONORARIOS</t>
  </si>
  <si>
    <t>AUTORIZACION DE PAGO 3 DEL  CONTRATO 185  DE 2018 - DEL 01-04-2018 AL 30-04-2018 - LINEA H.  HONORARIOS</t>
  </si>
  <si>
    <t>AUTORIZACION DE PAGO 4 DEL  CONTRATO 185  DE 2018 - DEL 01-05-2018 AL 31-05-2018 - LINEA H.  HONORARIOS</t>
  </si>
  <si>
    <t>AUTORIZACION DE PAGO 5 DEL  CONTRATO 185  DE 2018 - DEL 01-06-2018 AL 30-06-2018 - LINEA H.  HONORARIOS</t>
  </si>
  <si>
    <t>AUTORIZACION DE PAGO 6 DEL  CONTRATO 185  DE 2018 - DEL 01-07-2018 AL 31-07-2018 - LINEA H.  HONORARIOS</t>
  </si>
  <si>
    <t>AUTORIZACION DE PAGO 7 DEL  CONTRATO 185  DE 2018 - DEL 01-08-2018 AL 31-08-2018 - LINEA H.  HONORARIOS</t>
  </si>
  <si>
    <t>CONTRATO 223 DE 2018 JAVIER ANDRES VIDAL LOZANO</t>
  </si>
  <si>
    <t>AUTORIZACION DE PAGO 1 DEL  CONTRATO 223 DE 2018 - DEL 31-01-2018 AL 28-02-2018 - LINEA C.  HONORARIOS</t>
  </si>
  <si>
    <t>AUTORIZACIÓN DE PAGO 2 DEL  CONTRATO 223 DE 2018 - DEL 01-03-2018 AL 31-03-2018 - LINEA C.  HONORARIOS</t>
  </si>
  <si>
    <t>AUTORIZACION DE PAGO 3 DEL  CONTRATO 223 DE 2018 - DEL 01-04-2018 AL 30/04-2018 - LINEA C.  HONORARIOS</t>
  </si>
  <si>
    <t>AUTORIZACIÓN DE PAGO 4 DEL  CONTRATO 223 DE 2018 - DEL 01-05-2018 AL 31-05-2018 - LINEA C.  HONORARIOS</t>
  </si>
  <si>
    <t>AUTORIZACION DE PAGO 5 DEL  CONTRATO 223 DE 2018 - DEL 01-06-2018 AL 30-06-2018 - LINEA C.  HONORARIOS</t>
  </si>
  <si>
    <t>AUTORIZACION DE PAGO 6 DEL  CONTRATO 223 DE 2018 - DEL 01-07-2018 AL 31-07-2018 - LINEA C.  HONORARIOS</t>
  </si>
  <si>
    <t>AUTORIZACIÓN DE PAGO 7 DEL  CONTRATO 223 DE 2018 - DEL 01-08-2018 AL 31-08-2018 - LINEA C.  HONORARIOS-ART-No.235</t>
  </si>
  <si>
    <t>AUTORIZACION DE PAGO 8 DEL  CONTRATO 223 DE 2018 - DEL 01-09-2018 AL 30-09-2018 - LINEA C.  HONORARIOS-ART-No.235</t>
  </si>
  <si>
    <t>AUTORIZACION DE PAGO 9 DEL  CONTRATO 223 DE 2018 - DEL 01-10-2018 AL 31-10-2018 - LINEA C.  HONORARIOS-ART-No.235</t>
  </si>
  <si>
    <t>AUTORIZACION DE PAGO 10 DEL  CONTRATO 223 DE 2018 - DEL 01-11-2018 AL 30-11-2018 - LINEA C.  HONORARIOS-ART-No.235</t>
  </si>
  <si>
    <t>AUTORIZACION DE PAGO 11 DEL  CONTRATO 223 DE 2018 - DEL 01-12-2018 AL 31-12-2018 - LINEA C.  HONORARIOS-ART-No.235</t>
  </si>
  <si>
    <t>CONTRATO 137 DE 2018 OSCAR WILLIAMS HURTADO GOMEZ</t>
  </si>
  <si>
    <t>AUTORIZACION DE PAGO 1 DEL  CONTRATO 137  DE 2018 - DEL 23-01-2018 AL 22-02-2018 - LINEA C.  HONORARIOS</t>
  </si>
  <si>
    <t>NO HACE PARTE DE LOS INGRESOS Y EL REEMBOLSO SE ENCUENTRA INCLUIDO DENTRO DEL CONTRATO ,CUMPLE CON TODA LA DOCUMENTACION REQUERIDA -NO APLICAR RETENCIONES</t>
  </si>
  <si>
    <t>AUTORIZACION PAGO 2 DESPLAZAMIENTOS DEL CONTRATO 137 DE 2018 -  DEL 23/02/2018/ AL 22/03/2018 . NO HACE PARTE DE LOS INGRESOS Y EL REEMBOLSO SE ENCUENTRA INCLUIDO DENTRO DEL CONTRATO ,CUMPLE CON TODA LA DOCUMENTACION REQUERIDA -NO APLICAR RETENCIONES</t>
  </si>
  <si>
    <t>AUTORIZACION DE PAGO 2 DEL  CONTRATO 137  DE 2018 - DEL 23-02-2018 AL 22-03-2018 - LINEA C.  HONORARIOS.</t>
  </si>
  <si>
    <t>AUTORIZACION PAGO 3  DESPLAZAMIENTOS DEL CONTRATO 137 DE 2018 -  DEL 23/03/2018/ AL 22/04/2018 . NO HACE PARTE DE LOS INGRESOS Y EL REEMBOLSO SE ENCUENTRA INCLUIDO DENTRO DEL CONTRATO ,CUMPLE CON TODA LA DOCUMENTACION REQUERIDA -NO APLICAR RETENCIONES</t>
  </si>
  <si>
    <t>AUTORIZACION DE PAGO 3  DEL  CONTRATO 137  DE 2018 - DEL 23-03-2018 AL 22-04-2018 - LINEA C.  HONORARIOS.</t>
  </si>
  <si>
    <t>AUTORIZACION PAGO 4  DESPLAZAMIENTOS DEL CONTRATO 137 DE 2018 -  DEL 23/04/2018/ AL 22/05/2018 . NO HACE PARTE DE LOS INGRESOS Y EL REEMBOLSO SE ENCUENTRA INCLUIDO DENTRO DEL CONTRATO ,CUMPLE CON TODA LA DOCUMENTACION REQUERIDA -NO APLICAR RETENCIONES</t>
  </si>
  <si>
    <t>AUTORIZACION DE PAGO 4 DEL  CONTRATO 137  DE 2018 - DEL 23-04-2018 AL 22-05-2018 LINEA C. HONORARIOS.</t>
  </si>
  <si>
    <t>AUTORIZACION PAGO 5  DESPLAZAMIENTOS DEL CONTRATO 137 DE 2018 -  DEL 23/05/2018/ AL 22/06/2018 . NO HACE PARTE DE LOS INGRESOS Y EL REEMBOLSO SE ENCUENTRA INCLUIDO DENTRO DEL CONTRATO ,CUMPLE CON TODA LA DOCUMENTACION REQUERIDA -NO APLICAR RETENCIONES</t>
  </si>
  <si>
    <t>AUTORIZACION DE PAGO 5 DEL  CONTRATO 137  DE 2018 - DEL 23-05-2018 AL 22-06-2018 LINEA C. HONORARIOS.</t>
  </si>
  <si>
    <t>AUTORIZACION DE PAGO 6 DEL  CONTRATO 137  DE 2018 - DEL 23-06-2018 AL 22-07-2018 LINEA C. HONORARIOS.</t>
  </si>
  <si>
    <t>AUTORIZACIÓN DE PAGO 7 DEL  CONTRATO 137  DE 2018 - DEL 23-07-2018 AL 22-08-2018 LINEA C. HONORARIOS.</t>
  </si>
  <si>
    <t>AUTORIZACION PAGO 6  DESPLAZAMIENTOS DEL CONTRATO 137 DE 2018 -  DEL 23/07/2018/ AL 22/08/2018 . NO HACE PARTE DE LOS INGRESOS Y EL REEMBOLSO SE ENCUENTRA INCLUIDO DENTRO DEL CONTRATO ,CUMPLE CON TODA LA DOCUMENTACION REQUERIDA -</t>
  </si>
  <si>
    <t>AUTORIZACION DE PAGO 8 DEL  CONTRATO 137  DE 2018 - DEL 23-08-2018 AL 22-09-2018 LINEA C. HONORARIOS.ART.235</t>
  </si>
  <si>
    <t>AUTORIZACION DE PAGO 9 DEL  CONTRATO 137  DE 2018 - DEL 23-09-2018 AL 22-10-2018 LINEA C. HONORARIOS.ART.235</t>
  </si>
  <si>
    <t>AUTORIZACION DESPLAZAMIENTOS DEL CONTRATO 137 DE 2018 -  DEL 23/10/2018/ AL 22/11/2018 . NO HACE PARTE DE LOS INGRESOS Y EL REEMBOLSO SE ENCUENTRA INCLUIDO DENTRO DEL CONTRATO,CUMPLE CON TODA LA DOCUMENTACION REQUERIDA -NO APLICAR RETENCIONES ART.235</t>
  </si>
  <si>
    <t>AUTORIZACION DE PAGO 10 DEL  CONTRATO 137  DE 2018 - DEL 23-10-2018 AL 22-11-2018 LINEA C. HONORARIOS.ART.235</t>
  </si>
  <si>
    <t>AUTORIZACION DE PAGO 11 DEL  CONTRATO 137  DE 2018 - DEL 23-11-2018 AL 22-12-2018 LINEA C. HONORARIOS.ART.235</t>
  </si>
  <si>
    <t>AUTORIZACION PAGO 8  DESPLAZAMIENTOS DEL CONTRATO 137 DE 2018 -  DEL 23/11/2018/ AL 22/12/2018 . NO HACE PARTE DE LOS INGRESOS Y EL REEMBOLSO SE ENCUENTRA INCLUIDO DENTRO DEL CONTRATO ,CUMPLE CON TODA LA DOCUMENTACION REQUERIDA -</t>
  </si>
  <si>
    <t>CONTRATO 238 DE 2018 FELIPE  CHAVES MARTINEZ</t>
  </si>
  <si>
    <t>AUTORIZACIÓN DE PAGO 1  DEL CONTRATO 238  DE 2018 - DEL  25/01/2018 AL 24/02/2018. LINEA D - HONORARIOS</t>
  </si>
  <si>
    <t>AUTORIZACION DE PAGO 2  DEL CONTRATO 238  DE 2018 - DEL  25/02/2018 AL 24/03/2018. LINEA D - HONORARIOS</t>
  </si>
  <si>
    <t>AUTORIZACION DE PAGO 3  DEL CONTRATO 238  DE 2018 - DEL  25/03/2018 AL 24/04/2018. LINEA D - HONORARIOS</t>
  </si>
  <si>
    <t>AUTORIZACION DE PAGO 4  DEL CONTRATO 238  DE 2018 - DEL  25/04/2018 AL 24/05/2018. LINEA D - HONORARIOS</t>
  </si>
  <si>
    <t>AUTORIZACIÓN DE PAGO 5  DEL CONTRATO 238  DE 2018 - DEL  25/05/2018 AL 24/06/2018. LINEA D - HONORARIOS</t>
  </si>
  <si>
    <t>AUTORIZACIÓN PAGO 6 DEL CONTRATO 238 DE 2018 -  DEL 25 DE JUNIO AL 24 DE JULIO DE 2018 . LINEA D. - HONORARIOS ART No. 235</t>
  </si>
  <si>
    <t>AUTORIZACION DE PAGO 7  DEL CONTRATO 238  DE 2018 - DEL  25/07/2018 AL 24/08/2018. LINEA D - HONORARIOS ART No.235</t>
  </si>
  <si>
    <t>CONTRATO 341 DE 2018 MARY VIVIANA GALAN LOPEZ</t>
  </si>
  <si>
    <t>AUTORIZACIÓN DE PAGO 1 DEL  CONTRATO 341  DE 2018 - DEL 31-01-2018 AL 28-02-2018 - LINEA E HONORARIOS</t>
  </si>
  <si>
    <t>AUTORIZACION DE PAGO 2 DEL  CONTRATO 341  DE 2018 - DEL 01-03-2018 AL 31-03-2018 - LINEA E HONORARIOS</t>
  </si>
  <si>
    <t>AUTORIZACION DE PAGO 3 DEL  CONTRATO 341  DE 2018 - DEL 01-04-2018 AL 30-04-2018 - LINEA E HONORARIOS</t>
  </si>
  <si>
    <t>AUTORIZACION DE PAGO 4 DEL  CONTRATO 341  DE 2018 - DEL 01-05-2018 AL 31-05-2018 - LINEA E HONORARIOS</t>
  </si>
  <si>
    <t>AUTORIZACION DE PAGO 5 DEL  CONTRATO 341  DE 2018 - DEL 01-06-2018 AL 30-06-2018 - LINEA E HONORARIOS</t>
  </si>
  <si>
    <t>AUTORIZACIÓN DE PAGO 6 DEL  CONTRATO 341  DE 2018 - DEL 01-07-2018 AL 31-07-2018 - LINEA E HONORARIOS-ART No.235</t>
  </si>
  <si>
    <t>AUTORIZACIÓN DE PAGO 7 DEL  CONTRATO 341  DE 2018 - DEL 01-08-2018 AL 31-08-2018 - LINEA E HONORARIOS-ART No.235</t>
  </si>
  <si>
    <t>CONTRATO 362 DE 2018 FABIAN ROBERTO CORDON SOTO</t>
  </si>
  <si>
    <t>AUTORIZACIÓN DE PAGO 1 DEL  CONTRATO 362  DE 2018 - DEL 30-01-2018 AL 28-02-2018 - LINEA E HONORARIOS</t>
  </si>
  <si>
    <t>AUTORIZACIÓN DE PAGO 2 DEL  CONTRATO 362  DE 2018 - DEL 01-03-2018 AL 31-03-2018 - LINEA E.  HONORARIO</t>
  </si>
  <si>
    <t>AUTORIZACION DE PAGO 3 DEL  CONTRATO 362  DE 2018 - DEL 01-04-2018 AL 30-04-2018 - LINEA E.  HONORARIO</t>
  </si>
  <si>
    <t>AUTORIZACION PAGO 1  DESPLAZAMIENTOS DEL CONTRATO 362 DE 2018 -  DEL 01 AL 31 DE MAYO DE 2018 . LINEA E. NO HACE PARTE DE LOS INGRESOS Y EL REEMBOLSO SE ENCUENTRA INCLUIDO DENTRO DEL CONTRATO ,CUMPLE CON TODA LA DOCUMENTACION</t>
  </si>
  <si>
    <t>AUTORIZACION DE PAGO 4 DEL  CONTRATO 362  DE 2018 - DEL 01-05-2018 AL 31-05-2018 - LINEA E.  HONORARIO</t>
  </si>
  <si>
    <t>AUTORIZACIÓN DE PAGO 5 DEL  CONTRATO 362  DE 2018 - DEL 01-06-2018 AL 30-06-2018 - LINEA E.  HONORARIO</t>
  </si>
  <si>
    <t>AUTORIZACION PAGO 2  DESPLAZAMIENTOS DEL CONTRATO 362 DE 2018 -  DEL 01 AL 30 DE JUNIO DE 2018 . LINEA E. NO HACE PARTE DE LOS INGRESOS Y EL REEMBOLSO SE</t>
  </si>
  <si>
    <t>AUTORIZACION DE PAGO 6 DEL  CONTRATO 362  DE 2018 - DEL 01-07-2018 AL 31-07-2018 - LINEA E.  HONORARIO</t>
  </si>
  <si>
    <t>AUTORIZACION PAGO 3  DESPLAZAMIENTOS DEL CONTRATO 362 DE 2018 -  DEL 01 AL 30 DE JULIO DE 2018 . LINEA E. NO HACE PARTE DE LOS INGRESOS Y EL REEMBOLSO SE ENCUENTRA INCLUIDO DENTRO DEL CONTRATO ,CUMPLE CON TODA LA</t>
  </si>
  <si>
    <t>DESPLAZAMIENTOS DEL CONTRATO 362 DE 2018 -  DEL 01 AL 31 DE AGOSTO DE 2018 . LINEA E. NO HACE PARTE DE LOS INGRESOS Y EL REEMBOLSO SE ENCUENTRA INCLUIDO DENTRO DEL CONTRATO ,CUMPLE CON TODA LA DOCUMENTACION REQUERIDA -NO APLICAR RETENCIONES</t>
  </si>
  <si>
    <t>AUTORIZACION DE PAGO 7 DEL  CONTRATO 362  DE 2018 - DEL 01-08-2018 AL 31-08-2018 - LINEA E.  HONORARIO ART No.235</t>
  </si>
  <si>
    <t>CONTRATO 277 DE 2018 OMAR  JARAMILLO MARTINEZ</t>
  </si>
  <si>
    <t>AUTORIZACION DE  PAGO 1  DEL CONTRATO 277  DE 2018 - DEL 26-01-2018 AL 25-02-2018. LINEA G.- HONORARIOS</t>
  </si>
  <si>
    <t>AUTORIZACION DE  PAGO 2  DEL CONTRATO 277  DE 2018 - DEL 26-02-2018 AL 25-03-2018. LINEA G.- HONORARIOS</t>
  </si>
  <si>
    <t>AUTORIZACION DE  PAGO 3  DEL CONTRATO 277  DE 2018 - DEL 26-03-2018 AL 25-04-2018. LINEA G.- HONORARIOS</t>
  </si>
  <si>
    <t>AUTORIZACION DE  PAGO 4  DEL CONTRATO 277  DE 2018 - DEL 26-04-2018 AL 25-05-2018. LINEA G.- HONORARIOS</t>
  </si>
  <si>
    <t>AUTORIZACIÓN DE  PAGO 5 DEL CONTRATO 277  DE 2018 - DEL 26-05-2018 AL 25-06-2018. LINEA G.- HONORARIOS</t>
  </si>
  <si>
    <t>AUTORIZACION DE  PAGO 6 DEL CONTRATO 277  DE 2018 - DEL 26-06-2018 AL 25-07-2018.  LINEA G.- HONORARIOS</t>
  </si>
  <si>
    <t>AUTORIZACION PAGO  1  DESPLAZAMIENTOS DEL CONTRATO 277 DE 2018 -  DEL 26-06-2018 AL 25-07-2018. LINEA G. NO HACE PARTE DE LOS INGRESOS Y EL REEMBOLSO SE ENCUENTRA INCLUIDO DENTRO DEL CONTRATO ,CUMPLE CON TODA LA DOCUMENTACION</t>
  </si>
  <si>
    <t>AUTORIZACIÓN DE  PAGO 7 DEL CONTRATO 277  DE 2018 - DEL 26-07-2018 AL 25-08-2018. FACT 677:    LINEA G.- HONORARIOS ART. 235</t>
  </si>
  <si>
    <t>CONTRATO 355 DE 2018 ORGANIZACION IBEROAMERICANA DE SEGURIDAD</t>
  </si>
  <si>
    <t>AUTORIZACIÓN DEL PAGO 1 DEL CONVENIO 355 DE  2018. LINEA A - HONORARIOS</t>
  </si>
  <si>
    <t>AUTORIZACIÓN DEL PAGO 2 DEL CONVENIO 355 DE  2018. LINEA B - HONORARIOS</t>
  </si>
  <si>
    <t>AUTORIZACIÓN DEL PAGO 3 DEL  50% DEL APORTE DEL FRL  CONVENIO 355 DE  2018. LINEA F - HONORARIOS</t>
  </si>
  <si>
    <t>CONTRATO 339 DE 2018 ALFONSO  NAVARRO PATRON</t>
  </si>
  <si>
    <t>AUTORIZACION DE  PAGO 1  DEL CONTRATO 339 DE 2018 - DEL 29-01-2018 AL 28-02-2018. LINEA G.- HONORARIOS</t>
  </si>
  <si>
    <t>AUTORIZACIÓN DE  PAGO 2  DEL CONTRATO 339 DE 2018 - DEL 01-03-2018 AL 31-03-03-2018. LINEA G.- HONORARIOS</t>
  </si>
  <si>
    <t>AUTORIZACION DE  PAGO 3  DEL CONTRATO 339 DE 2018 - DEL 01-04-2018 AL 30-04-2018. LINEA G.- HONORARIOS</t>
  </si>
  <si>
    <t>AUTORIZACION DE  PAGO 4  DEL CONTRATO 339 DE 2018 - DEL 01-05-2018 AL 31-05-2018. LINEA G.- HONORARIOS</t>
  </si>
  <si>
    <t>AUTORIZACION DE  PAGO 5  DEL CONTRATO 339 DE 2018 - DEL 01-06-2018 AL 30/06-2018. LINEA G.- HONORARIOS</t>
  </si>
  <si>
    <t>AUTORIZACIÓN DE  PAGO 6 DEL CONTRATO 339 DE 2018 - DEL 01-07-2018 AL 31-07-2018. LINEA G.- HONORARIOS</t>
  </si>
  <si>
    <t>AUTORIZACION DE  PAGO 7 DEL CONTRATO 339 DE 2018 - DEL 01-08-2018 AL 31-08-2018. LINEA G.- HONORARIOS ART. 235</t>
  </si>
  <si>
    <t>CONTRATO 363 DE 2018 DIANA CRISTINA PULIDO PEÑA</t>
  </si>
  <si>
    <t>AUTORIZACIÓN DE PAGO 1 DEL  CONTRATO 363  DE 2018 - DEL 31-01-2018 AL 28-02-2018 - LINEA C.  HONORARIOS</t>
  </si>
  <si>
    <t>AUTORIZACION DE PAGO 2 DEL  CONTRATO 363  DE 2018 - DEL 01-03-18 AL 31-03-2018 - LINEA C.  HONORARIOS</t>
  </si>
  <si>
    <t>AUTORIZACION DE PAGO 3 DEL  CONTRATO 363  DE 2018 - DEL 01-04-18 AL 30-04-2018 - LINEA C.  HONORARIOS</t>
  </si>
  <si>
    <t>AUTORIZACION DE PAGO 4 DEL  CONTRATO 363  DE 2018 - DEL 01-05-18 AL 31-05-2018 - LINEA C.  HONORARIOS</t>
  </si>
  <si>
    <t>AUTORIZACION DE PAGO 5 DEL  CONTRATO 363  DE 2018 - DEL 01-06-18 AL 30-06-2018 - LINEA C.  HONORARIOS</t>
  </si>
  <si>
    <t>AUTORIZACION DE PAGO 6 DEL  CONTRATO 363  DE 2018 - DEL 01-07-18 AL 31-07-2018 - LINEA C.  HONORARIOS</t>
  </si>
  <si>
    <t>AUTORIZACION DE PAGO 7 DEL  CONTRATO 363  DE 2018 - DEL 01-08-2018 AL 31-08-2018 - LINEA C.  HONORARIOS ART.235</t>
  </si>
  <si>
    <t>AUTORIZACIÓN DE PAGO 8 DEL  CONTRATO 363  DE 2018 - DEL 01-09-18 AL 30-09-2018 - LINEA C.  HONORARIOS ART.235</t>
  </si>
  <si>
    <t>AUTORIZACIÓN PAGO 1 DEL CONTRATO 363 DE 2018 -  DEL 01/09/201/ AL 30/09/2018 .  NO HACE PARTE DE LOS INGRESOS Y EL REEMBOLSO SE ENCUENTRA INCLUIDO DENTRO DEL CONTRATO ,CUMPLE CON TODA LA DOCUMENTACIÓN REQUERIDA -NO APLICAR RETENCIONES  ART-235</t>
  </si>
  <si>
    <t>AUTORIZACION DE PAGO 9 DEL  CONTRATO 363  DE 2018 - DEL 01-10-18 AL 31-10-2018 - LINEA C.  HONORARIOS ART.235</t>
  </si>
  <si>
    <t>AUTORIZACIÓN DE PAGO 10 DEL  CONTRATO 363  DE 2018 - DEL 01-11-18 AL 30-11-2018 - LINEA C.  HONORARIOS ART.235</t>
  </si>
  <si>
    <t>AUTORIZACION DE PAGO 11 DEL  CONTRATO 363  DE 2018 - DEL 01-12-18 AL 31-12-2018 - LINEA C.  HONORARIOS ART.235</t>
  </si>
  <si>
    <t>CONTRATO 370 DE 2018 JOHNNY ALEXANDER POSSO SANCHEZ</t>
  </si>
  <si>
    <t>AUTORIZACIÓN DE PAGO 1 DEL  CONTRATO 370  DE 2018 - DEL 30-01-2018 AL 28-02-2018 - LINEA G  HONORARIOS</t>
  </si>
  <si>
    <t>AUTORIZACIÓN DE PAGO 2 DEL  CONTRATO 370  DE 2018 - DEL 01-03-2018 AL 31-03-2018 - LINEA G  HONORARIOS</t>
  </si>
  <si>
    <t>AUTORIZACION DE PAGO 3  DEL  CONTRATO 370  DE 2018 - DEL 01-04-2018 AL 30-04-2018 - LINEA G  HONORARIOS</t>
  </si>
  <si>
    <t>AUTORIZACION DE PAGO 4  DEL  CONTRATO 370  DE 2018 - DEL 01-05-2018 AL 31-05-2018 - LINEA G  HONORARIOS</t>
  </si>
  <si>
    <t>AUTORIZACION DE PAGO 5 DEL  CONTRATO 370  DE 2018 - DEL 01-06-2018 AL 30-06-2018 - LINEA G  HONORARIOS</t>
  </si>
  <si>
    <t>AUTORIZACIÓN DE PAGO 6 DEL  CONTRATO 370  DE 2018 - DEL 01-07-2018 AL 31-07-2018 - LINEA G  HONORARIOS</t>
  </si>
  <si>
    <t>AUTORIZACION DE PAGO 7 DEL  CONTRATO 370  DE 2018 - DEL 01-08-2018 AL 31-08-2018 - LINEA G  HONORARIOS-ART No.235</t>
  </si>
  <si>
    <t>AUTORIZACION DE PAGO 8 DEL  CONTRATO 370  DE 2018 - DEL 01-09-2018 AL 30-09-2018 - LINEA G  HONORARIOS-ART No.235</t>
  </si>
  <si>
    <t>AUTORIZACION DE PAGO 9 DEL  CONTRATO 370  DE 2018 - DEL 01-10-2018 AL 31-10-2018 - LINEA G  HONORARIOS-ART No.235</t>
  </si>
  <si>
    <t>AUTORIZACION DE PAGO 10 DEL  CONTRATO 370  DE 2018 - DEL 01-11-2018 AL 30-11-2018 - LINEA G  HONORARIOS-ART No.235</t>
  </si>
  <si>
    <t>AUTORIZACION DE PAGO 11 DEL  CONTRATO 370  DE 2018 - DEL 01-12-2018 AL 31-12-2018 - LINEA G  HONORARIOS-ART No.235</t>
  </si>
  <si>
    <t>CONTRATO 178 DE 2018 AQUILINO  FORERO LOVERA</t>
  </si>
  <si>
    <t>AUTORIZACIÓN DE  PAGO 1  DEL CONTRATO 178 DE 2018 - DEL 31-01-2018 AL 28-02-2018. LINEA C.- HONORARIOS</t>
  </si>
  <si>
    <t>AUTORIZACION DE  PAGO 2  DEL CONTRATO 178 DE 2018 - DEL 01 AL 31-03-2018. LINEA C.- HONORARIOS</t>
  </si>
  <si>
    <t>AUTORIZACION DE  PAGO 3  DEL CONTRATO 178 DE 2018 - DEL 01-04-18  AL 30-04-2018. LINEA C.- HONORARIOS</t>
  </si>
  <si>
    <t>AUTORIZACION DE  PAGO 4  DEL CONTRATO 178 DE 2018 - DEL 01-05-18  AL 31-05-2018. LINEA C.- HONORARIOS</t>
  </si>
  <si>
    <t>AUTORIZACION DE  PAGO 5  DEL CONTRATO 178 DE 2018 - DEL 01-06-18  AL 30-06-2018. LINEA C.- HONORARIOS</t>
  </si>
  <si>
    <t>AUTORIZACION DE  PAGO 6  DEL CONTRATO 178 DE 2018 - DEL 01-07-18  AL 31-07-2018. LINEA C.- HONORARIOS</t>
  </si>
  <si>
    <t>AUTORIZACION DE  PAGO 7  DEL CONTRATO 178 DE 2018 - DEL 01-08-18  AL 31-08-2018. LINEA C.- HONORARIOS ART. 235</t>
  </si>
  <si>
    <t>AUTORIZACIÓN DE  PAGO 8  DEL CONTRATO 178 DE 2018 - DEL 01-09-18  AL 30-09-2018. LINEA C.- HONORARIOS ART. 235</t>
  </si>
  <si>
    <t>AUTORIZACION DE  PAGO 9  DEL CONTRATO 178 DE 2018 - DEL 01-10-18  AL 31-10-2018. LINEA C.- HONORARIOS</t>
  </si>
  <si>
    <t>AUTORIZACION DE  PAGO 10  DEL CONTRATO 178 DE 2018 - DEL 01-11-18  AL 30-11-2018. LINEA C.- HONORARIOS</t>
  </si>
  <si>
    <t>AUTORIZACION DE  PAGO 11  DEL CONTRATO 178 DE 2018 - DEL 01-12-18  AL 31-12-2018. LINEA C.- HONORARIOS</t>
  </si>
  <si>
    <t>CONTRATO 163 DE 2018 ALEXIS EDUARDO SANCHEZ LOREO</t>
  </si>
  <si>
    <t>AUTORIZACION DE  PAGO 1  DEL CONTRATO 163  DE 2018 - DEL 23-01-2018 AL 22-02-2018. LINEA D.- HONORARIOS</t>
  </si>
  <si>
    <t>AUTORIZACION DE  PAGO 2  DEL CONTRATO 163  DE 2018 - DEL 23-02-2018 AL 22-03-2018. LINEA D.- HONORARIOS</t>
  </si>
  <si>
    <t>AUTORIZACION DE  PAGO 3  DEL CONTRATO 163  DE 2018 - DEL 23-03-2018 AL 22-04-2018. LINEA D.- HONORARIOS</t>
  </si>
  <si>
    <t>AUTORIZACION DE  PAGO 4  DEL CONTRATO 163  DE 2018 - DEL 23-04-2018 AL 22-05-2018. LINEA D.- HONORARIOS</t>
  </si>
  <si>
    <t>AUTORIZACION DE  PAGO 5  DEL CONTRATO 163  DE 2018 - DEL 23-05-2018 AL 22-06-2018. LINEA D.- HONORARIOS</t>
  </si>
  <si>
    <t>AUTORIZACIÓN DE  PAGO 6 DEL CONTRATO 163  DE 2018 - DEL 23-06-2018 AL 22-07-2018. LINEA D.- HONORARIOS</t>
  </si>
  <si>
    <t>AUTORIZACION DE  PAGO 7 DEL CONTRATO 163  DE 2018 - DEL 23-07-2018 AL 15-08-2018. LINEA D.- HONORARIOS-ART.235</t>
  </si>
  <si>
    <t>CONTRATO 338 DE 2018 JORGE HUMBERTO BEDOYA ARISTIZABAL</t>
  </si>
  <si>
    <t>AUTORIZACIÓN DE  PAGO 1  DEL CONTRATO 338  DE 2018 - DEL 29-01-2018 AL 28-02-2018. LINEA G.- HONORARIOS</t>
  </si>
  <si>
    <t>AUTORIZACION DE  PAGO 2  DEL CONTRATO 338  DE 2018 - DEL 01-03-2018 AL 31-03-2018. LINEA G.- HONORARIOS</t>
  </si>
  <si>
    <t>AUTORIZACION DE  PAGO 3  DEL CONTRATO 338  DE 2018 - DEL 01-04-2018 AL 30-04-2018. LINEA G.- HONORARIOS</t>
  </si>
  <si>
    <t>AUTORIZACION DE  PAGO 4  DEL CONTRATO 338  DE 2018 - DEL 01-05-2018 AL 31/05-2018. LINEA G.- HONORARIOS</t>
  </si>
  <si>
    <t>AUTORIZACION DE  PAGO 5 DEL CONTRATO 338  DE 2018 - DEL 01-05-2018 AL 31/05-2018. LINEA G.- HONORARIOS</t>
  </si>
  <si>
    <t>AUTORIZACIÓN DE  PAGO 6 DEL CONTRATO 338  DE 2018 - DEL 01-07-2018 AL 31-07-2018. LINEA G.- HONORARIOS</t>
  </si>
  <si>
    <t>AUTORIZACIÓN DE  PAGO 7 DEL CONTRATO 338  DE 2018 - DEL 01-08-2018 AL 31-08-2018. LINEA G.- HONORARIOS-ART No.235</t>
  </si>
  <si>
    <t>CONTRATO 225 DE 2018 OMAR ANDRES VILLARREAL MESA</t>
  </si>
  <si>
    <t>AUTORIZACIÓN PAGO 1  DEL CONTRATO 225  DE 2018 - DEL 31-01-2018 AL 28-02-2018. LINEA C.- HONORARIOS</t>
  </si>
  <si>
    <t>AUTORIZACIÓN DE  PAGO 2  DEL CONTRATO 225  DE 2018 - DEL 01-03-2018 AL 31-03-2018. LINEA C.- HONORARIOS</t>
  </si>
  <si>
    <t>AUTORIZACION DE  PAGO 3 DEL CONTRATO 225  DE 2018 - DEL 01-04-2018 AL 30-04-2018. LINEA C.- HONORARIOS</t>
  </si>
  <si>
    <t>AUTORIZACION DE  PAGO 4 DEL CONTRATO 225  DE 2018 - DEL 01-05-2018 AL 30-05-2018. LINEA C.- HONORARIOS</t>
  </si>
  <si>
    <t>AUTORIZACION DE  PAGO 5 DEL CONTRATO 225  DE 2018 - DEL 01-06-2018 AL 30-06-2018. FACT: 671 LINEA C.- HONORARIOS</t>
  </si>
  <si>
    <t>AUTORIZACIÓN DE  PAGO 6 DEL CONTRATO 225  DE 2018 - DEL 01-07-2018 AL 31-07-2018. LINEA C.- HONORARIOS ART.235</t>
  </si>
  <si>
    <t>AUTORIZACION DE  PAGO 7 DEL CONTRATO 225  DE 2018 - DEL 01-08-2018 AL 31-08-2018. LINEA C.- HONORARIOS ART,235</t>
  </si>
  <si>
    <t>CONTRATO 240 DE 2018 JAVIER HERNAN PARGA COCA</t>
  </si>
  <si>
    <t>AUTORIZACIÓN DE PAGO 1 DEL  CONTRATO 240  DE 2018 - DEL 25-01-2018 AL 24-02-2018 - LINEA F  HONORARIOS</t>
  </si>
  <si>
    <t>AUTORIZACION DE PAGO 2 DEL  CONTRATO 240  DE 2018 - DEL 25-02-2018 AL 24-03-2018 - LINEA F  HONORARIOS</t>
  </si>
  <si>
    <t>AUTORIZACION DE PAGO 3 DEL  CONTRATO 240  DE 2018 - DEL 25-03-2018 AL 24-04-2018 - LINEA F  HONORARIOS</t>
  </si>
  <si>
    <t>AUTORIZACION DE PAGO 4 DEL  CONTRATO 240  DE 2018 - DEL 25-04-2018 AL 24-05-2018 - LINEA F  HONORARIOS</t>
  </si>
  <si>
    <t>AUTORIZACION DE PAGO 5 DEL  CONTRATO 240  DE 2018 - DEL 25-05-2018 AL 24-06-2018 - LINEA F  HONORARIOS</t>
  </si>
  <si>
    <t>AUTORIZACION DE PAGO 6 DEL  CONTRATO 240  DE 2018 - DEL 25-06-2018 AL 24-07-2018 - LINEA F  HONORARIOS</t>
  </si>
  <si>
    <t>AUTORIZACIÓN DE PAGO 7 DEL  CONTRATO 240  DE 2018 - DEL 25-07-2018 AL 24-08-2018 - LINEA F  HONORARIOS</t>
  </si>
  <si>
    <t>CONTRATO 373 DE 2018 DANIEL EDUARDO OTERO VARGAS</t>
  </si>
  <si>
    <t>AUTORIZACION DE  PAGO 1  DEL CONTRATO 373 DE 2018 - DEL 29-01-2018 AL 28-02-2018. LINEA F.- HONORARIOS</t>
  </si>
  <si>
    <t>AUTORIZACIÓN DE  PAGO 2  DEL CONTRATO 373 DE 2018 - DEL 01-03-2018 AL 31-03-2018. LINEA F.- HONORARIOS</t>
  </si>
  <si>
    <t>AUTORIZACION DE  PAGO 3  DEL CONTRATO 373 DE 2018 - DEL 01-04-2018 AL 30-04-2018. LINEA F.- HONORARIOS-PAGO CON CESION A PESION VOLUVTARIAS PORVERNIR POR $1,500,000</t>
  </si>
  <si>
    <t>AUTORIZACION DE  PAGO 4  DEL CONTRATO 373 DE 2018 - DEL 01-05-2018 AL 30-05-2018. LINEA F.- HONORARIOS-PAGO CON CESION A PESION VOLUNTARIAS PORVERNIR POR $1,500,000</t>
  </si>
  <si>
    <t>AUTORIZACION DE  PAGO 5  DEL CONTRATO 373 DE 2018 - DEL 01-06-2018 AL 30-06-2018. LINEA F.- HONORARIOS-PAGO CON CESION A PESION VOLUNTARIAS PORVERNIR POR $1,500,000</t>
  </si>
  <si>
    <t>AUTORIZACION DE  PAGO 6  DEL CONTRATO 373 DE 2018 - DEL 01-07-2018 AL 31-07-2018. LINEA F.- HONORARIOS-PAGO CON CESION A PESION VOLUNTARIAS PORVERNIR POR $1,500,000</t>
  </si>
  <si>
    <t>AUTORIZACION DE  PAGO 7  DEL CONTRATO 373 DE 2018 - DEL 01-08-2018 AL 31-08-2018. LINEA F.- HONORARIOS-PAGO CON CESION A PESION VOLUNTARIAS PORVERNIR POR $1,500,000 ART No.235</t>
  </si>
  <si>
    <t>CONTRATO 386 DE 2018 LEYDI YAMILE GUZMAN CORTES</t>
  </si>
  <si>
    <t>AUTORIZACIÓN DE  PAGO 1  DEL CONTRATO 386 DE 2018 - DEL 29-01-2018 AL 28-02-2018. LINEA G.- HONORARIOS</t>
  </si>
  <si>
    <t>AUTORIZACION DE  PAGO 2  DEL CONTRATO 386 DE 2018 - DEL 01-03-18 AL 31-03-2018. LINEA G.- HONORARIOS</t>
  </si>
  <si>
    <t>AUTORIZACION DE  PAGO 3  DEL CONTRATO 386 DE 2018 - DEL 01-04-18 AL 30-04-2018. LINEA G.- HONORARIOS</t>
  </si>
  <si>
    <t>AUTORIZACION DE  PAGO 4  DEL CONTRATO 386 DE 2018 - DEL 01-05-18 AL 31-05-2018. LINEA G.- HONORARIOS</t>
  </si>
  <si>
    <t>AUTORIZACION DE  PAGO 5  DEL CONTRATO 386 DE 2018 - DEL 01-06-18 AL 30-06-2018. LINEA G.- HONORARIOS</t>
  </si>
  <si>
    <t>AUTORIZACION DE  PAGO 6  DEL CONTRATO 386 DE 2018 - DEL 01-07-18 AL 31-07-2018. LINEA G.- HONORARIOS ART. 235</t>
  </si>
  <si>
    <t>AUTORIZACION DE  PAGO 7 DEL CONTRATO 386 DE 2018 - DEL 01-08-18 AL 31-08-2018. LINEA G.- HONORARIOS ART. 235</t>
  </si>
  <si>
    <t>CONTRATO 374 DE 2018 SANDRA JOHANNA NAVIA GOMEZ</t>
  </si>
  <si>
    <t>AUTORIZACION DE  PAGO 1  DEL CONTRATO 374 DE 2018 - DEL 29-01-2018 AL 28-02-2018. LINEA F.- HONORARIOS</t>
  </si>
  <si>
    <t>AUTORIZACIÓN DE  PAGO 2  DEL CONTRATO 374 DE 2018 - DEL 01-03-2018 AL 31-03-2018. LINEA F.- HONORARIOS</t>
  </si>
  <si>
    <t>AUTORIZACION DE  PAGO 3  DEL CONTRATO 374 DE 2018 - DEL 01-04-2018 AL 30-04-2018. LINEA F.- HONORARIOS</t>
  </si>
  <si>
    <t>AUTORIZACIÓN DE  PAGO 4  DEL CONTRATO 374 DE 2018 - DEL 01-05-2018 AL 31-05-2018. LINEA F.- HONORARIOS</t>
  </si>
  <si>
    <t>AUTORIZACION DE  PAGO 5  DEL CONTRATO 374 DE 2018 - DEL 01-06-2018 AL 30-06-2018. LINEA F.- HONORARIOS</t>
  </si>
  <si>
    <t>AUTORIZACION DE  PAGO 6  DEL CONTRATO 374 DE 2018 - DEL 01-07-2018 AL 31-07-2018. LINEA F.- HONORARIOS</t>
  </si>
  <si>
    <t>AUTORIZACIÓN DE  PAGO 7  DEL CONTRATO 374 DE 2018 - DEL 01-08-2018 AL 31-08-2018. LINEA F.- HONORARIOS</t>
  </si>
  <si>
    <t>AUTORIZACIÓN DE  PAGO 8 DEL CONTRATO 374 DE 2018 - DEL 01-09-2018 AL 30-09-2018. LINEA F.- HONORARIOS-ART.235</t>
  </si>
  <si>
    <t>AUTORIZACION DE  PAGO 9 DEL CONTRATO 374 DE 2018 - DEL 01-10-2018 AL 31-10-2018. LINEA F.- HONORARIOS-ART.235</t>
  </si>
  <si>
    <t>AUTORIZACION DE  PAGO 10 DEL CONTRATO 374 DE 2018 - DEL 01-11-2018 AL 30-11-2018. LINEA F.- HONORARIOS-ART.235</t>
  </si>
  <si>
    <t>AUTORIZACION DE  PAGO 11 DEL CONTRATO 374 DE 2018 - DEL 01-12-2018 AL 31-12-2018. LINEA F.- HONORARIOS-ART.235</t>
  </si>
  <si>
    <t>CONTRATO 221 DE 2018 JULIAN  SALAZAR ARIAS</t>
  </si>
  <si>
    <t>AUTORIZACION DE  PAGO 1  DEL CONTRATO 221 DE 2018 - DEL 26-01-2018 AL 25-02-2018. LINEA C.- HONORARIOS</t>
  </si>
  <si>
    <t>AUTORIZACION DE  PAGO 2  DEL CONTRATO 221 DE 2018 - DEL 26-02-2018 AL 25-03-2018. LINEA C.- HONORARIOS</t>
  </si>
  <si>
    <t>AUTORIZACION DE  PAGO 3  DEL CONTRATO 221 DE 2018 - DEL 26-02-2018 AL 25-03-2018. LINEA C.- HONORARIOS</t>
  </si>
  <si>
    <t>AUTORIZACION DE  PAGO 4  DEL CONTRATO 221 DE 2018 - DEL 26-04-2018 AL 25-05-2018. LINEA C.- HONORARIOS</t>
  </si>
  <si>
    <t>AUTORIZACION DE  PAGO 5  DEL CONTRATO 221 DE 2018 - DEL 26-05-2018 AL 25-06-2018. LINEA C.- HONORARIOS</t>
  </si>
  <si>
    <t>AUTORIZACION DE  PAGO 6  DEL CONTRATO 221 DE 2018 - DEL 26-06-2018 AL 25-07-2018. LINEA C.- HONORARIOS</t>
  </si>
  <si>
    <t>AUTORIZACION DE  PAGO 7 DEL CONTRATO 221 DE 2018 - DEL 26-07-2018 AL 25-08-2018. LINEA C.- HONORARIOS ART.235</t>
  </si>
  <si>
    <t>AUTORIZACION DE  PAGO 8 DEL CONTRATO 221 DE 2018 - DEL 26-08-2018 AL 25-09-2018. LINEA C.- HONORARIOS ART.235</t>
  </si>
  <si>
    <t>AUTORIZACION DE  PAGO 9 DEL CONTRATO 221 DE 2018 - DEL 26-09-2018 AL 25-10-2018. LINEA C.- HONORARIOS ART.235</t>
  </si>
  <si>
    <t>AUTORIZACION DE  PAGO 10 DEL CONTRATO 221 DE 2018 - DEL 26-10-2018 AL 25-11-2018. LINEA C.- HONORARIOS ART.235</t>
  </si>
  <si>
    <t>AUTORIZACION DE  PAGO 11 DEL CONTRATO 221 DE 2018 - DEL 26-11-2018 AL 25-12-2018. LINEA C.- HONORARIOS ART.235</t>
  </si>
  <si>
    <t>CONVENIO 356 DE  2018 ORGANIZACION IBEROAMERICANA DE SEGURIDAD</t>
  </si>
  <si>
    <t>AUTORIZACIÓN DEL PAGO 1 DEL CONVENIO 356 DE  2018. LINEA A - HONORARIOS</t>
  </si>
  <si>
    <t>AUTORIZACIÓN DEL PAGO 2 DEL CONVENIO 356 DE  2018. LINEA A - HONORARIOS</t>
  </si>
  <si>
    <t>AUTORIZACIÓN DEL PAGO 3 DEL CONVENIO 356 DE  2018. LINEA A - HONORARIOS , PAGAR EN LA CUENTA 142167253</t>
  </si>
  <si>
    <t>AUTORIZACIÓN DEL PAGO 4 DEL  50% DEL APORTE DEL FRL  CONVENIO 356 DE  2018. LINEA A - HONORARIOS</t>
  </si>
  <si>
    <t>CONTRATO 265 DE 2018 JAIME  AYALA VARGAS</t>
  </si>
  <si>
    <t>AUTORIZACION DE  PAGO 1  DEL CONTRATO 265 DE 2018 - DEL 26-01-2018 AL 25-02-2018. LINEA G.- HONORARIOS</t>
  </si>
  <si>
    <t>AUTORIZACIÓN DE  PAGO 2 DEL CONTRATO 265 DE 2018 - DEL 26-02-2018 AL 25-03-2018. LINEA G.- HONORARIOS</t>
  </si>
  <si>
    <t>AUTORIZACION DE  PAGO 3 DEL CONTRATO 265 DE 2018 - DEL 26-03-2018 AL 25-04-2018. LINEA G.- HONORARIOS</t>
  </si>
  <si>
    <t>AUTORIZACION DE  PAGO 4 DEL CONTRATO 265 DE 2018 - DEL 26-04-2018 AL 25-05-2018. LINEA G.- HONORARIOS</t>
  </si>
  <si>
    <t>AUTORIZACIÓN DE  PAGO 5  DEL CONTRATO 265 DE 2018 - DEL 26-05-2018 AL 25-06-2018. LINEA G.- HONORARIOS</t>
  </si>
  <si>
    <t>AUTORIZACION DE  PAGO 6  DEL CONTRATO 265 DE 2018 - DEL 26-06-2018 AL 25-07-2018. LINEA G.- HONORARIOS</t>
  </si>
  <si>
    <t>AUTORIZACION DE  PAGO 7  DEL CONTRATO 265 DE 2018 - DEL 26-07-2018 AL 25-08-2018. LINEA G.- HONORARIOS</t>
  </si>
  <si>
    <t>AUTORIZACION DE  PAGO 8  DEL CONTRATO 265 DE 2018 - DEL 26-08-2018 AL 25-09-2018. LINEA G.- HONORARIOS ART. 235</t>
  </si>
  <si>
    <t>AUTORIZACIÓN DE  PAGO 9  DEL CONTRATO 265 DE 2018 - DEL 26-09-2018 AL 25-10-2018. LINEA G.- HONORARIOS ART. 235</t>
  </si>
  <si>
    <t>AUTORIZACION DE  PAGO 10  DEL CONTRATO 265 DE 2018 - DEL 26-10-2018 AL 25-11-2018. LINEA G.- HONORARIOS ART. 235</t>
  </si>
  <si>
    <t>AUTORIZACION DE  PAGO 11  DEL CONTRATO 265 DE 2018 - DEL 26-11-2018 AL 25-12-2018. LINEA G.- HONORARIOS ART. 235</t>
  </si>
  <si>
    <t>CONTRATO 430 DE 2017 CONSORCIO MINTRABAJO 2017</t>
  </si>
  <si>
    <t>AUTORIZACION DE  PAGO 1  DEL CONTRATO 430 DE 2017 - DEL 11-09-2017 AL 30/09/2017. LINEA H.- HONORARIOS</t>
  </si>
  <si>
    <t>AUTORIZACION DE  PAGO 2  DEL CONTRATO 430 DE 2017 - DEL MES DE OCTUBRE DE 2017. LINEA H.- HONORARIOS</t>
  </si>
  <si>
    <t>AUTORIZACION DE  PAGO 3  DEL CONTRATO 430 DE 2017 - DEL MES DE NOVIEMBRE DE 2017. LINEA H.- HONORARIOS</t>
  </si>
  <si>
    <t>AUTORIZACION DE  PAGO 4  DEL CONTRATO 430 DE 2017 - DEL MES DE DICIEMBRE DE 2017. LINEA H.- HONORARIOS</t>
  </si>
  <si>
    <t>AUTORIZACION DE  PAGO 6  DEL CONTRATO 430 DE 2017 - DEL MES DE FEBRERO-2018. FACT. 13 LINEA H.- HONORARIOS</t>
  </si>
  <si>
    <t>AUTORIZACION DE  PAGO 5  DEL CONTRATO 430 DE 2017 - DEL MES DE ENERO-2018. FACT. 12 LINEA H.- HONORARIOS</t>
  </si>
  <si>
    <t>AUTORIZACION DE  PAGO 7   MARZO 2018 DEL CONTRATO 430 DE 2017 - FACT:1 4 LINEA H.- HONORARIOS</t>
  </si>
  <si>
    <t>AUTORIZACIÓN DE  PAGO 9 DEL CONTRATO 430 DE 2017 - DEL MES DE MAYO-2018. FACT. 16 LINEA H.- HONORARIOS</t>
  </si>
  <si>
    <t>AUTORIZACIÓN DE  PAGO 8 DEL CONTRATO 430 DE 2017 - DEL MES DE ABRIL-2018. FACT. 15 LINEA H.- HONORARIOS</t>
  </si>
  <si>
    <t>AUTORIZACIÓN DE  PAGO 10 DEL CONTRATO 430 DE 2017 - DEL MES DE JUNIO-2018. FACT. 17 LINEA H.- HONORARIOS</t>
  </si>
  <si>
    <t>AUTORIZACION DE  PAGO 11 DEL CONTRATO 430 DE 2017 - DEL MES DE JULIO-2018. FACT. 18 LINEA H.- HONORARIOS-ART No.235</t>
  </si>
  <si>
    <t>AUTORIZACION DE  PAGO 12 DEL CONTRATO 430 DE 2017 - DEL MES DE AGOSTO-2018. FACT. 19 LINEA H.- HONORARIOS-ART No.235</t>
  </si>
  <si>
    <t>AUTORIZACION DE  PAGO 13 DEL CONTRATO 430 DE 2017 - DEL MES DE SEPTIEMBRE-2018. FACT. 20 LINEA H.- HONORARIOS-ART No.235</t>
  </si>
  <si>
    <t>AUTORIZACION DE  PAGO 14 DEL CONTRATO 430 DE 2017 - DEL MES DE OCTUBRE-2018. FACT. 21 LINEA H.- HONORARIOS-ART No.235</t>
  </si>
  <si>
    <t>AUTORIZACION DE  PAGO 15 DEL CONTRATO 430 DE 2017 - DEL MES DE NOVIEMBRE-2018. FACT. 23 LINEA H.- HONORARIOS-ART No.235</t>
  </si>
  <si>
    <t>AUTORIZACIÓN DE  PAGO 16 DEL CONTRATO 430 DE 2017 - DEL MES DE  DICIEMBRE -2018. FACT. 24 LINEA H.- HONORARIOS-ART No.235</t>
  </si>
  <si>
    <t>AUTORIZACION DE  PAGO 18 DEL CONTRATO 430 DE 2017 - DEL MES DE FEBRERO -2019. FACT. 28 LINEA H.- HONORARIOS-ART No.235</t>
  </si>
  <si>
    <t>AUTORIZACION DE  PAGO 17 DEL CONTRATO 430 DE 2017 - DEL MES DE  ENERO -2019. FACT. 27 LINEA H.- HONORARIOS-ART No.235</t>
  </si>
  <si>
    <t>AUTORIZACION DE  PAGO 20 DEL CONTRATO 430 DE 2017 - DEL MES DE ABRILO -2019. FACT. 30 LINEA H.- HONORARIOS-ART No.235</t>
  </si>
  <si>
    <t>AUTORIZACION DE  PAGO 19 DEL CONTRATO 430 DE 2017 - DEL MES DE MARZO -2019. FACT. 29 LINEA H.- HONORARIOS-ART No.235</t>
  </si>
  <si>
    <t>AUTORIZACION DE  PAGO 22 DEL CONTRATO 430 DE 2017 - DEL MES DE JUNIO -2019. FACT. 32 LINEA H.- HONORARIOS-ART No.235</t>
  </si>
  <si>
    <t>AUTORIZACION DE  PAGO 21 DEL CONTRATO 430 DE 2017 - DEL MES DE AGOSTO 2019. FACT. 31 LINEA H.- HONORARIOS-ART No.235</t>
  </si>
  <si>
    <t>AUTORIZACION DE  PAGO 23 DEL CONTRATO 430 DE 2017 - DEL MES DE JULIO -2019. FACT. 33 LINEA H</t>
  </si>
  <si>
    <t>AUTORIZACIÓN DEL PAGO 24 CONTRATO 430 DE 2019 PAGO MES DE AGOSTO DE 2019 LINEA H - HONORARIOS  ART 424</t>
  </si>
  <si>
    <t>PAGO 25 DE HONORARIOS DEL  CONTRATO 430 DE 2017 - DEL MES DE 01 AL 10 DE SEPT  DE 2019 ART-424</t>
  </si>
  <si>
    <t>CONTRATO 345 DE 2018 WILLIAM ALBERTO ROBLES FONNEGRA</t>
  </si>
  <si>
    <t>AUTORIZACIÓN DE  PAGO 1  DEL CONTRATO 345 DE 2018 - DEL 29-01-2018 AL 28-02-2018. LINEA C.- HONORARIOS</t>
  </si>
  <si>
    <t>AUTORIZACION DE  PAGO 2  DEL CONTRATO 345 DE 2018 - DEL 01-03-2018 AL 31-03-2018. LINEA C.- HONORARIOS</t>
  </si>
  <si>
    <t>AUTORIZACION DE PAGO 3 DEL CONTRATO 345 DE 2018 DEL 01-04-2018 AL 30/04/2018. LINEA C. HONORARIOS</t>
  </si>
  <si>
    <t>AUTORIZACION DE  PAGO 4  DEL CONTRATO 345 DE 2018 - DEL 01-05-2018 AL 31-05-2018. LINEA C.- HONORARIOS, NO APLICAR PENSION VOLUNTARIA SEGÚN CORREO ADJUNTO</t>
  </si>
  <si>
    <t>AUTORIZACION DE  PAGO 5  DEL CONTRATO 345 DE 2018 - DEL 01-06-2018 AL 30-06-2018. LINEA C.- HONORARIOS, NO APLICAR PENSION VOLUNTARIA SEGÚN CORREO ADJUNTO</t>
  </si>
  <si>
    <t>AUTORIZACION DE  PAGO 6  DEL CONTRATO 345 DE 2018 - DEL 01-07-2018 AL 31-07-2018. LINEA C.- HONORARIOS. art. 235</t>
  </si>
  <si>
    <t>AUTORIZACION DE  PAGO 7  DEL CONTRATO 345 DE 2018 - DEL 01-08-2018 AL 31-08-2018. LINEA C.- HONORARIOS. Art. 235</t>
  </si>
  <si>
    <t>CONTRATO 204 DE 2018 GUSTAVO EDUARDO ARENAS CAMPOS</t>
  </si>
  <si>
    <t>AUTORIZACION DE  PAGO 1  DEL CONTRATO 204 DE 2018 - DEL 24-01-2018 AL 23-02-2017. LINEA C.- HONORARIOS</t>
  </si>
  <si>
    <t>AUTORIZACION DE  PAGO 2  DEL CONTRATO 204 DE 2018 - DEL 24-02-2018 AL 23-03-017. LINEA C.- HONORARIOS</t>
  </si>
  <si>
    <t>AUTORIZACION DE  PAGO 3  DEL CONTRATO 204 DE 2018 - DEL 24-03-2018 AL 23-04-2017. LINEA C.- HONORARIOS</t>
  </si>
  <si>
    <t>AUTORIZACION DE  PAGO 4  DEL CONTRATO 204 DE 2018 - DEL 24-04-2018 AL 23-05-2018. LINEA C.- HONORARIOS</t>
  </si>
  <si>
    <t>AUTORIZACION DE  PAGO 5  DEL CONTRATO 204 DE 2018 - DEL 24-05-2018 AL 23-06-2018. LINEA C.- HONORARIOS</t>
  </si>
  <si>
    <t>AUTORIZACION DE  PAGO 6  DEL CONTRATO 204 DE 2018 - DEL 24-06-2018 AL 23-07-2018. LINEA C.- HONORARIOS</t>
  </si>
  <si>
    <t>AUTORIZACION DE  PAGO 7  DEL CONTRATO 204 DE 2018 - DEL 24-07-2018 AL 23-08-2018. LINEA C.- HONORARIOS</t>
  </si>
  <si>
    <t>AUTORIZACION DE  PAGO 8  DEL CONTRATO 204 DE 2018 - DEL 24-08-2018 AL 23-09-2018. LINEA C.- HONORARIOS</t>
  </si>
  <si>
    <t>AUTORIZACIÓN DE  PAGO 9  DEL CONTRATO 204 DE 2018 - DEL 24-09-2018 AL 23-10-2018. LINEA C.- HONORARIOS</t>
  </si>
  <si>
    <t>AUTORIZACION DE  PAGO 10 DEL CONTRATO 204 DE 2018 - DEL 24-10-2018 AL 23-11-2018. LINEA C.- HONORARIOS</t>
  </si>
  <si>
    <t>AUTORIZACION DE  PAGO 11 DEL CONTRATO 204 DE 2018 - DEL 24-11-2018 AL 23-12-2018. LINEA C.- HONORARIOS-ART No.235</t>
  </si>
  <si>
    <t>CONTRATO 346 DE 2018 TOLK COLOMBIA S.A.S.</t>
  </si>
  <si>
    <t>AUTORIZACIÓN PAGO 1 DEL CONTRATO 346  DE 2018 - DEL 26-01-2018 AL  25-02-2018. LINEA A- HONORARIOS</t>
  </si>
  <si>
    <t>AUTORIZACION PAGO 2 DEL CONTRATO 346  DE 2018 - DEL 26-02-2018 AL  25-03-2018. LINEA A- HONORARIOS</t>
  </si>
  <si>
    <t>AUTORIZACIÓN PAGO 3 DEL CONTRATO 346  DE 2018 - DEL 26-03-2018 AL  25-04-2018. LINEA A- HONORARIOS</t>
  </si>
  <si>
    <t>AUTORIZACIÓN PAGO 4 DEL CONTRATO 346  DE 2018 - DEL 26-04-2018 AL  25-05-2018. LINEA A- HONORARIOS</t>
  </si>
  <si>
    <t>AUTORIZACION PAGO 5 DEL CONTRATO 346  DE 2018 - DEL 26-05-2018 AL  25-06-2018. LINEA A- HONORARIOS</t>
  </si>
  <si>
    <t>AUTORIZACION PAGO  6 DEL  CONTRATO 346  DE 2018 - DEL 26-06-2018 AL  25-07-2018. LINEA A- HONORARIOS</t>
  </si>
  <si>
    <t>AUTORIZACION PAGO  7 DEL  CONTRATO 346  DE 2018 - DEL 26-07-2018 AL  25-08-2018.  FACTURA 184 LINEA A- HONORARIOS ART. 235</t>
  </si>
  <si>
    <t>CONVENIO 387/2018 UNIVERSIDAD NACIONAL DE COLOMBIA</t>
  </si>
  <si>
    <t>AUTORIZACIÓN DEL PAGO 1 DEL  30% DEL APORTE DEL FRL  CONVENIO 387 DE  2018. LINEA B - HONORARIOS</t>
  </si>
  <si>
    <t>AUTORIZACIÓN DEL PAGO 2 DEL  50% DEL APORTE DEL FRL  CONVENIO 387 DE  2018. LINEA B - HONORARIOS</t>
  </si>
  <si>
    <t>AUTORIZACIÓN DEL PAGO 3 DEL  15% DEL APORTE DEL FRL  CONVENIO 387 DE  2018. OBJETO B - HONORARIOS</t>
  </si>
  <si>
    <t>AUTORIZACIÓN DEL PAGO 4 DEL  5% DEL APORTE DEL FRL  CONVENIO 387 DE  2018. OBJETO B - HONORARIOS</t>
  </si>
  <si>
    <t>CONVENIO 354/2018 ORGANIZACION IBEROAMERICANA DE SEGURIDAD SOCIAL - CENTRO REGIONAL PARA COLOMBIA Y EL AREA ANDINA</t>
  </si>
  <si>
    <t>AUTORIZACIÓN DEL PAGO 1 DEL  40% DEL APORTE DEL FRL  CONVENIO 354 DE  2018. LINEA B - HONORARIOS</t>
  </si>
  <si>
    <t>AUTORIZACIÓN DEL PAGO 2 DEL  50% DEL APORTE DEL FRL  CONVENIO 354 DE  2018. LINEA B - HONORARIOS</t>
  </si>
  <si>
    <t>AUTORIZACIÓN DEL PAGO 3 DEL  10% DEL APORTE DEL FRL  CONVENIO 354 DE  2018. LINEA B - HONORARIOS  ART 235</t>
  </si>
  <si>
    <t>CONTRATO 344/2018 ANDRES  ESCOBAR DIAZ</t>
  </si>
  <si>
    <t>AUTORIZACIÓN DE PAGO 1 CONTRATO 344  DE 2018 - DEL 31-01-2018 AL 28-02-2018 -LINEA C.  HONORARIOS</t>
  </si>
  <si>
    <t>AUTORIZACION DE PAGO 2 CONTRATO 344  DE 2018 - DEL 01-03-2018 AL 31-03-2018 -LINEA C.  HONORARIOS-ART No.235-LA ORDEN DE PAGO ORIGINAL RELACIONAN 2,3,4,5,6 MEDIANTE RADICADO No 20180322431382</t>
  </si>
  <si>
    <t>AUTORIZACION DE PAGO 3 CONTRATO 344  DE 2018 - DEL 01-04-2018 AL 30-04-2018 -LINEA C.  HONORARIOS-ART No.235 -LA ORDEN DE PAGO ORIGINAL RELACIONAN 2,3,4,5,6 MEDIANTE RADICADO No 20180322431382</t>
  </si>
  <si>
    <t>AUTORIZACION DE PAGO 4 CONTRATO 344  DE 2018 - DEL 01-05-2018 AL 31-05-2018 -LINEA C.  HONORARIOS-ART No.235-LA ORDEN DE PAGO ORIGINAL RELACIONAN 2,3,4,5,6 MEDIANTE RADICADO No 20180322431382</t>
  </si>
  <si>
    <t>AUTORIZACION DE PAGO 5 CONTRATO 344  DE 2018 - DEL 01-06-2018 AL 30-06-2018 -LINEA C.  HONORARIOS-ART No.235-LA ORDEN DE PAGO ORIGINAL RELACIONAN 2,3,4,5,6 MEDIANTE RADICADO No 20180322431382</t>
  </si>
  <si>
    <t>AUTORIZACIÓN DE PAGO 6 CONTRATO 344  DE 2018 - DEL 01-07-2018 AL 31-07-2018 -LINEA C.  HONORARIOS-ART No.235-LA ORDEN DE PAGO ORIGINAL RELACIONAN 2,3,4,5,6 MEDIANTE RADICADO No 20180322431382</t>
  </si>
  <si>
    <t>AUTORIZACION DE PAGO 7 CONTRATO 344  DE 2018 - DEL 01-08-2018 AL 31-08-2018 -LINEA C.  HONORARIOS-ART No.235-LA ORDEN DE PAGO ORIGINAL RELACIONAN 7,8,9,10 MEDIANTE RADICADO No 20190320053292</t>
  </si>
  <si>
    <t>AUTORIZACION DE PAGO 10 CONTRATO 344  DE 2018 - DEL 01-11-2018 AL 30-11-2018 -LINEA C.  HONORARIOS-ART No.235-LA ORDEN DE PAGO ORIGINAL RELACIONAN 7,8,9,10 MEDIANTE RADICADO No 20190320053292</t>
  </si>
  <si>
    <t>AUTORIZACION DE PAGO 8 CONTRATO 344  DE 2018 - DEL 01-09-2018 AL 31-09-2018 -LINEA C.  HONORARIOS-ART No.235-LA ORDEN DE PAGO ORIGINAL RELACIONAN 7,8,9,10 MEDIANTE RADICADO No 20190320053292</t>
  </si>
  <si>
    <t>AUTORIZACION DE PAGO 9 CONTRATO 344  DE 2018 - DEL 01-10-2018 AL 31-10-2018 -LINEA C.  HONORARIOS-ART No.235-LA ORDEN DE PAGO ORIGINAL RELACIONAN 7,8,9,10 MEDIANTE RADICADO No 20190320053292</t>
  </si>
  <si>
    <t>AUTORIZACION DE PAGO 11 CONTRATO 344  DE 2018 - DEL 01-12-2018 AL 31-12-2018 -LINEA C.  HONORARIOS-ART No.235</t>
  </si>
  <si>
    <t>CONTRATO 317/2018 RAUL  ZAPATA CAICEDO</t>
  </si>
  <si>
    <t>AUTORIZACION DE PAGO 1 CONTRATO 317  DE 2018 - DEL 31-01-2018 AL 28-02-2018 -LINEA C.  HONORARIOS</t>
  </si>
  <si>
    <t>AUTORIZACIÓN DE PAGO 2 CONTRATO 317  DE 2018 - DEL 01-03-2018 AL 31-03-2018 -LINEA C.  HONORARIOS</t>
  </si>
  <si>
    <t>AUTORIZACION DE PAGO 3 CONTRATO 317  DE 2018 - DEL 01-04-2018 AL 30-04-2018 -LINEA C.  HONORARIOS</t>
  </si>
  <si>
    <t>AUTORIZACIÓN DE PAGO 4 CONTRATO 317  DE 2018 - DEL 01-05-2018 AL 31-05-2018 -LINEA C.  HONORARIOS</t>
  </si>
  <si>
    <t>AUTORIZACION DE PAGO 6 CONTRATO 317  DE 2018 - DEL 01-07-2018 AL 31-07-2018 -LINEA C.  HONORARIOS</t>
  </si>
  <si>
    <t>AUTORIZACION DE PAGO 5 CONTRATO 317  DE 2018 - DEL 01-06-2018 AL 30-06-2018 -LINEA C.  HONORARIOS</t>
  </si>
  <si>
    <t>AUTORIZACIÓN DE PAGO 7 CONTRATO 317  DE 2018 - DEL 01-08-2018 AL 31-08-2018 -LINEA C.  HONORARIOS ART. 235</t>
  </si>
  <si>
    <t>CONTRATO 337/2018 ALBA SUSANA GARCIA VELASQUEZ</t>
  </si>
  <si>
    <t>AUTORIZACION DE PAGO 2  DEL CONTRATO 337  DE 2018 - DEL 01/03/2018 AL 31/03/2018. LINEA B- HONORARIOS</t>
  </si>
  <si>
    <t>AUTORIZACION DE PAGO 1  DEL CONTRATO 337  DE 2018 - DEL 29/01/2018 AL 28/02/2018. LINEA B- HONORARIOS</t>
  </si>
  <si>
    <t>AUTORIZACION DE PAGO 3  DEL CONTRATO 337  DE 2018 - DEL 01/04/2018 AL 30/04/2018. LINEA B- HONORARIOS</t>
  </si>
  <si>
    <t>AUTORIZACIÓN DE PAGO 4  DEL CONTRATO 337  DE 2018 - DEL 01/05/2018 AL 31/05/2018. LINEA B- HONORARIOS</t>
  </si>
  <si>
    <t>AUTORIZACION DE PAGO 5  DEL CONTRATO 337  DE 2018 - DEL 01/06/2018 AL 30/06/2018. LINEA B- HONORARIOS</t>
  </si>
  <si>
    <t>AUTORIZACION DE PAGO 6 DEL CONTRATO 337  DE 2018 - DEL 01-07-2018 AL 31-07-2018. LINEA B- HONORARIOS</t>
  </si>
  <si>
    <t>AUTORIZACIÓN DE PAGO 7 DEL CONTRATO 337  DE 2018 - DEL 01-08-2018 AL 31-08-2018. LINEA B- HONORARIOS-ART No.235</t>
  </si>
  <si>
    <t>CONVENIO 361/2018 ASOCIACION COLOMBIANA DE LAS MICRO, PEQUEÑAS Y MEDIANAS EMPRESAS-ACOPI ATLANTICO</t>
  </si>
  <si>
    <t>AUTORIZACIÓN DE PAGO 1  DEL  CONVENIO   DE ASOCIACIÓN 361  - LINEA  A .  HONORARIO</t>
  </si>
  <si>
    <t>AUTORIZACIÓN DE PAGO 2  DEL  CONVENIO   DE ASOCIACIÓN 361  - LINEA  A .  HONORARIO</t>
  </si>
  <si>
    <t>AUTORIZACION DE PAGO 3  DEL  CONVENIO   DE ASOCIACION 361  - LINEA  A .  HONORARIO</t>
  </si>
  <si>
    <t>RESOLUCION 3149 DEL 2018 COLPENSIONES</t>
  </si>
  <si>
    <t>CONTRATO 359 DE 2018 ORGANIZACION IBEROAMERICANA DE SEGURIDAD</t>
  </si>
  <si>
    <t>AUTORIZACIÓN DEL PAGO 1 DEL  25% DEL APORTE DEL FRL  CONVENIO 359 DE  2018. LINEA B - HONORARIOS</t>
  </si>
  <si>
    <t>AUTORIZACIÓN DEL PAGO 2 DEL  50% DEL APORTE DEL FRL  CONVENIO 359 DE  2018. LINEA B - HONORARIOS  ART 235</t>
  </si>
  <si>
    <t>AUTORIZACIÓN DEL PAGO 3 DEL  25% DEL APORTE DEL FRL CONVENIO 359 DE  2018. LINEA B - HONORARIOS  ART 235</t>
  </si>
  <si>
    <t>CONTRATO 357 DE 2018 ORGANIZACION IBEROAMERICANA DE SEGURIDAD</t>
  </si>
  <si>
    <t>AUTORIZACIÓN DEL PAGO 1 40% DEL APORTE  DEL CONVENIO DE COOPERACIÓN 357 DE  2018. LINEA  A - HONORARIOS -ART,235</t>
  </si>
  <si>
    <t>AUTORIZACIÓN DEL PAGO 2 40% DEL APORTE  DEL CONVENIO DE COOPERACIÓN 357 DE  2018. LINEA  A - HONORARIOS -ART,235</t>
  </si>
  <si>
    <t>AUTORIZACIÓN DEL PAGO 3 DEL  50% DEL APORTE DEL FRL  CONVENIO 357 DE  2018. LINEA A - HONORARIOS</t>
  </si>
  <si>
    <t>CONTRATO 463/2018 DIEGO MAURICIO GUERRERO VASQUEZ</t>
  </si>
  <si>
    <t>AUTORIZACION DE PAGO 1  DEL  CONTRATO 463   DE 2018 - DEL 21/09/2018 AL 30/09/2018 - LINEA H.  HONORARIOS ART. 235</t>
  </si>
  <si>
    <t>AUTORIZACION DE PAGO 2  DEL  CONTRATO 463   DE 2018 - DEL 1/10/2018 AL 31/10/2018 - LINEA H.  HONORARIOS ART. 235</t>
  </si>
  <si>
    <t>AUTORIZACION DE PAGO 3  DEL  CONTRATO 463   DE 2018 - DEL 1/11/2018 AL 30/11/2018 - LINEA H.  HONORARIOS ART. 235</t>
  </si>
  <si>
    <t>AUTORIZACION DE PAGO 4 DEL  CONTRATO 463   DE 2018 - DEL 1/12/2018 AL 31/12/2018 - LINEA H.  HONORARIOS ART. 235</t>
  </si>
  <si>
    <t>CONTRATO 465/2018 LUIS JAVIER BONILLA PINILLA</t>
  </si>
  <si>
    <t>AUTORIZACION DE PAGO 1 DEL  CONTRATO 465  DE 2018 - DEL 21-09-2018 AL 30-09-2018 - LINEA G.  HONORARIOS</t>
  </si>
  <si>
    <t>AUTORIZACION DE PAGO 2 DEL  CONTRATO 465  DE 2018 - DEL 1-10-2018 AL 31-10-2018 - LINEA G.  HONORARIOS</t>
  </si>
  <si>
    <t>AUTORIZACION PAGO 1  DESPLAZAMIENTOS DEL CONTRATO 465 DE 2018 -  DEL 01/11/2018/ AL 30/11/2018 . NO HACE PARTE DE LOS INGRESOS Y EL REEMBOLSO SE ENCUENTRA INCLUIDO DENTRO DEL CONTRATO ,CUMPLE C</t>
  </si>
  <si>
    <t>AUTORIZACION DE PAGO 3 DEL  CONTRATO 465  DE 2018 - DEL 1-11-2018 AL 30-11-2018 - LINEA G.  HONORARIOS</t>
  </si>
  <si>
    <t>AUTORIZACION PAGO 2 DESPLAZAMIENTOS DEL CONTRATO 465 DE 2018 -  DEL 01-12-2018 AL 31-12-2018 . NO HACE PARTE DE LOS INGRESOS Y EL REEMBOLSO SE ENCUENTRA INCLUIDO DENTRO DEL CONTRATO ,CUMPLE CON TODA LA DOCUMENTACION REQUERIDA -</t>
  </si>
  <si>
    <t>AUTORIZACION DE PAGO 4 DEL  CONTRATO 465  DE 2018 - DEL 1-12-2018 AL 31-12-2018 - LINEA G.  HONORARIOS</t>
  </si>
  <si>
    <t>CONTRATO 475/2018 ALFONSO  NAVARRO PATRON</t>
  </si>
  <si>
    <t>AUTORIZACION DE  PAGO 1 DEL CONTRATO 475 DE 2018 - DEL 26-09-2018 AL 30-09-2018. LINEA G.- HONORARIOS ART. 235</t>
  </si>
  <si>
    <t>AUTORIZACION DE  PAGO  2 DEL CONTRATO 475 DE 2018 - DEL 01-10-2018 AL 31-10-2018. LINEA G.- HONORARIOS ART. 235</t>
  </si>
  <si>
    <t>AUTORIZACION DE  PAGO  3 DEL CONTRATO 475 DE 2018 - DEL 01-11-2018 AL 30-11-2018. LINEA G.- HONORARIOS ART. 235</t>
  </si>
  <si>
    <t>AUTORIZACION PAGO 1  DESPLAZAMIENTOS DEL CONTRATO 475 DE 2018 -  DEL 01/11/2018/ AL 30/11/2018 . NO HACE PARTE DE LOS INGRESOS Y EL REEMBOLSO SE ENCUENTRA INCLUIDO DENTRO DEL CONTRATO</t>
  </si>
  <si>
    <t>AUTORIZACION DE  PAGO  04 DEL CONTRATO 475 DE 2018 - DEL 01-12-2018 AL 31-12-2018. LINEA G.- HONORARIOS ART. 235</t>
  </si>
  <si>
    <t>CONTRATO 468/2018 PATRICIA  DUQUE CRUZ</t>
  </si>
  <si>
    <t>AUTORIZACION DE PAGO1 CONTRATO 468 DE 2018 - DEL 21 AL 30 DE SEPT-2018   -LINEA H.  HONORARIOS ART. 235</t>
  </si>
  <si>
    <t>AUTORIZACIÓN DE PAGO 2 CONTRATO 468 DE 2018 - DEL 01 AL 31  DE OCTUBRE-2018   -LINEA H.  HONORARIOS ART. 235</t>
  </si>
  <si>
    <t>AUTORIZACION DE PAGO 3 CONTRATO 468 DE 2018 - DEL 01 AL 30  DE NOVIEMBRE -2018   -LINEA H.  HONORARIOS ART. 235</t>
  </si>
  <si>
    <t>AUTORIZACION DE PAGO 4 CONTRATO 468 DE 2018 - DEL 01 AL 31  DE DICIEMBRE -2018   -LINEA H.  HONORARIOS ART. 235</t>
  </si>
  <si>
    <t>CONTRATO 482/2018 GENNY AMALFFY DIAZ MUÑOZ</t>
  </si>
  <si>
    <t>AUTORIZACION DE  PAGO 1  DEL CONTRATO 482  DE 2018 - DEL 28-09-18  AL 30-09-2018. LINEA C.- HONORARIOS ART. 235</t>
  </si>
  <si>
    <t>AUTORIZACION DE  PAGO 2  DEL CONTRATO 482  DE 2018 - DEL 01-10-18  AL 31-10-2018. LINEA C.- HONORARIOS ART. 235</t>
  </si>
  <si>
    <t>AUTORIZACION PAGO 1 DESPLAZAMIENTOS DEL CONTRATO 482 DE 2018 -  DEL 01-10-2018 AL 31-10-2018 . NO HACE PARTE DE LOS INGRESOS Y EL REEMBOLSO SE ENCUENTRA INCLUIDO DENTRO DEL CONTRATO ,CUMPLE CON TODA LA</t>
  </si>
  <si>
    <t>AUTORIZACION DE  PAGO 3  DEL CONTRATO 482  DE 2018 - DEL 01-11-18  AL 30-11-2018. LINEA C.- HONORARIOS ART. 235</t>
  </si>
  <si>
    <t>AUTORIZACION PAGO 2 DESPLAZAMIENTOS DEL CONTRATO 482 DE 2018 -  DEL 01-11-2018 AL 30-11-2018 . NO HACE PARTE DE LOS INGRESOS Y EL REEMBOLSO SE ENCUENTRA INCLUIDO DENTRO DEL CONTRATO</t>
  </si>
  <si>
    <t>AUTORIZACION PAGO 3 DESPLAZAMIENTOS DEL CONTRATO 482 DE 2018 -  DEL 01-12-2018 AL 31-12-2018 . NO HACE PARTE DE LOS INGRESOS Y EL REEMBOLSO SE ENCUENTRA INCLUIDO DENTRO DEL CONTRATO ,CUMPLE CON TODA LA DOCUMENTACION REQUERIDA -NO APLICAR RETENCIONES  AR</t>
  </si>
  <si>
    <t>AUTORIZACION DE PAGO 04  CONTRATO 482  DE 2018 - DEL 01-12-2018 AL 31-12-2018 - LINEA C. HONORARIOS ART. 235</t>
  </si>
  <si>
    <t>CONTRATO 470/2018 DIEGO FERNANDO RUBIO</t>
  </si>
  <si>
    <t>AUTORIZACION DE  PAGO 1  DEL CONTRATO 470 DE 2018 - DEL 24-09-2018 AL 30-09-2018. LINEA G.- HONORARIOS</t>
  </si>
  <si>
    <t>AUTORIZACION DE  PAGO 2  DEL CONTRATO 470 DE 2018 - DEL 01-10-2018 AL 31-10-2018. LINEA G.- HONORARIOS</t>
  </si>
  <si>
    <t>AUTORIZACION DE  PAGO 3  DEL CONTRATO 470 DE 2018 - DEL 01-11-2018 AL 30-11-2018. LINEA G.- HONORARIOS</t>
  </si>
  <si>
    <t>AUTORIZACION DE  PAGO 4  DEL CONTRATO 470 DE 2018 - DEL 01-12-2018 AL 31-12-2018. LINEA G.- HONORARIOS</t>
  </si>
  <si>
    <t>CONTRATO 469/2018 VIVIANA MARCELA PEDRAZA SERRANO</t>
  </si>
  <si>
    <t>AUTORIZACION DE PAGO 1  DEL CONTRATO 469 DE 2018 - DEL  24/09/2018 AL 30/09/2018. LINEA H. - HONORARIOS ART. 235</t>
  </si>
  <si>
    <t>AUTORIZACION DE PAGO 2  DEL CONTRATO 469 DE 2018 - DEL  01/10/2018 AL 31/10/2018. LINEA G. - HONORARIOS ART. 235</t>
  </si>
  <si>
    <t>AUTORIZACION DE PAGO 3  DEL CONTRATO 469 DE 2018 - DEL  01/11/2018 AL 30/11/2018. LINEA G. - HONORARIOS ART. 235</t>
  </si>
  <si>
    <t>AUTORIZACION DE PAGO 4  DEL CONTRATO 469 DE 2018 - DEL  01/12/2018 AL 31/12/2018. LINEA G. - HONORARIOS ART. 235</t>
  </si>
  <si>
    <t>CONTRATO 487/2018 FABIAN ROBERTO CORDON SOTO</t>
  </si>
  <si>
    <t>AUTORIZACION DE PAGO 1 DEL  CONTRATO 487  DE 2018 - DEL 03/10/2018 AL 31-10-2018 - LINEA E.  HONORARIO ART No.235</t>
  </si>
  <si>
    <t>AUTORIZACION DE PAGO 2 DEL  CONTRATO 487  DE 2018 - DEL 01-11-2018 AL 30-11-2018 - LINEA E.  HONORARIO ART No.235</t>
  </si>
  <si>
    <t>AUTORIZACION DE PAGO 3 DEL  CONTRATO 487  DE 2018 - DEL 01-12-2018 AL 31-12-2018 - LINEA E.  HONORARIO ART No.235</t>
  </si>
  <si>
    <t>CONTRATO 483/2018 FATIMA ENITH PRADO SOLARTE</t>
  </si>
  <si>
    <t>ORIZACION DE  PAGO  1 DEL CONTRATO 483 DE 2018 - DEL 27-09-2018 AL 30-09-2018. LINEA C.- HONORARIOS ART. 235</t>
  </si>
  <si>
    <t>AUTORIZACION DE  PAGO  2 DEL CONTRATO 483 DE 2018 - DEL 01-10-2018 AL 31-10-2018. LINEA C.- HONORARIOS ART. 235</t>
  </si>
  <si>
    <t>AUTORIZACION DE  PAGO  3 DEL CONTRATO 483 DE 2018 - DEL 01-11-2018 AL 30-11-2018. LINEA C.- HONORARIOS ART. 235</t>
  </si>
  <si>
    <t>AUTORIZACION DE PAGO 04  CONTRATO 483  DE 2018 - DEL 01-12-2018 AL 31-12-2018 - LINEA C.  HONORARIOS ART. 235</t>
  </si>
  <si>
    <t>AUTORIZACION PAGO 1 DESPLAZAMIENTOS DEL CONTRATO 483 DE 2018 -  DEL 01-12-2018 AL 31-12-2018 . NO HACE PARTE DE LOS INGRESOS Y EL REEMBOLSO SE ENCUENTRA INCLUIDO DENTRO DEL CONTRATO ,CUMPLE CON TODA LA DOCUMENTACION REQUERIDA -</t>
  </si>
  <si>
    <t>CONTRATO 525/2018 LUISA MARINA URIBE RESTREPO</t>
  </si>
  <si>
    <t>AUTORIZACION DE PAGO 2 CONTRATO 525  DE 2018 - DEL 1-11-2018 AL 30-11-2018 -LINEA C.  HONORARIOS ART,235</t>
  </si>
  <si>
    <t>CONTRATO 569/2018 JUAN CARLOS CALDERON FERNANDEZ</t>
  </si>
  <si>
    <t>AUTORIZACION DE PAGO 01  CONTRATO 569  DE 2018 - DEL 01-11-2018 AL 30-11-2018 - LINEA E.  HONORARIOS ART. 235</t>
  </si>
  <si>
    <t>AUTORIZACION DE PAGO 02  CONTRATO 569  DE 2018 - DEL 01-12-2018 AL 31-12-2018 - LINEA E. HONORARIOS ART. 235</t>
  </si>
  <si>
    <t>CONTRATO 403/2018 PEZETA PUBLICIDAD LTDA</t>
  </si>
  <si>
    <t>AUTORIZACION DE PAGO 01  CONTRATO 403  DE 2018  - LINEA B.  HONORARIOS ART. 235 - PAGO SIN IMPUESTOS ART. 643</t>
  </si>
  <si>
    <t>AUTORIZACION DE PAGO 02  CONTRATO 403  DE 2018  - LINEA B.  HONORARIOS ART. 235 - PAGO SIN IMPUIESTOS ART.643</t>
  </si>
  <si>
    <t>AUTORIZACION DE PAGO 03  CONTRATO 403  DE 2018  - LINEA A.  HONORARIOS ART. 235 - PAGO SIN IMPUIESTOS ART.643</t>
  </si>
  <si>
    <t>CONTRATO 568/2018 JORGE HUMBERTO BEDOYA ARISTIZABAL</t>
  </si>
  <si>
    <t>AUTORIZACION DE  PAGO  1 DEL CONTRATO 568  DE 2018 - DEL 01-11-2018 AL 30-11-2018. LINEA G.- HONORARIOS-ART No.235</t>
  </si>
  <si>
    <t>AUTORIZACION DE  PAGO 2 DEL CONTRATO 568  DE 2018 - DEL 01-12-2018 AL 31-12-2018. LINEA G.- HONORARIOS-ART No.235</t>
  </si>
  <si>
    <t>CONTRATO 559/2018 DU BRANDS SAS</t>
  </si>
  <si>
    <t>AUTORIZACION DE  PAGO 1 DEL CONTRATO 559 DE 2018 - DEL 29-10-2018 AL 28-11-2018. LINEA A.- HONORARIOS ART. 235</t>
  </si>
  <si>
    <t>AUTORIZACION DE  PAGO 2 DEL CONTRATO 559 DE 2018 - DEL 29-11-2018 AL 28-12-2018. LINEA A.- HONORARIOS ART. 235</t>
  </si>
  <si>
    <t>AUTORIZACION DE  PAGO 3 DEL CONTRATO 559 DE 2018 - DEL 29-12-2018 AL 31-12-2018. LINEA A.- HONORARIOS ART. 235</t>
  </si>
  <si>
    <t>CONTRATO 547/2018 SHARON SASTY STEFAN GONZALEZ ESCORCIA</t>
  </si>
  <si>
    <t>AUTORIZACION DE PAGO 2  CONTRATO 547 DE 2018 - DEL 01 AL 30  DE NOVIEMBRE -2018   -LINEA H.  HONORARIOS ART. 235</t>
  </si>
  <si>
    <t>AUTORIZACION DE PAGO 1  CONTRATO 547 DE 2018 - DEL 24 AL 31  DE OCTUBRE -2018   -LINEA H.  HONORARIOS ART. 235</t>
  </si>
  <si>
    <t>AUTORIZACION DE PAGO 3  CONTRATO 547 DE 2018 - DEL 01 AL 31  DE DICIEMBRE -2018   -LINEA H.  HONORARIOS ART. 235</t>
  </si>
  <si>
    <t>CONTRATO 602/2018 GLORIA JANNETT HUERFANO GAONA</t>
  </si>
  <si>
    <t>AUTORIZACION DE PAGO 1 DEL  CONTRATO 602  DE 2018 - DEL 22-11-18 AL 30-11-2018 - LINEA C.  HONORARIOS ART.235</t>
  </si>
  <si>
    <t>AUTORIZACION DE PAGO 2 DEL  CONTRATO 602  DE 2018 - DEL 01-12-18 AL 31-12-2018 - LINEA C.  HONORARIOS ART.235</t>
  </si>
  <si>
    <t>CONTRATO 471/2018 CARMEN LUCIA LOPEZ FRANCO</t>
  </si>
  <si>
    <t>AUTORIZACION DE PAGO 1 DEL  CONTRATO 471  DE 2018 - DEL 22-09-2018 AL 30-09-2018 - LINEA G.  HONORARIOS ART. 235</t>
  </si>
  <si>
    <t>AUTORIZACION DE PAGO 3 DEL  CONTRATO 471  DE 2018 - DEL 01-11-2018 AL 30-11-2018 - LINEA G.  HONORARIOS ART. 235</t>
  </si>
  <si>
    <t>AUTORIZACION DE PAGO 4 DEL  CONTRATO 471  DE 2018 - DEL 01-12-2018 AL 31-12-2018 - LINEA G.  HONORARIOS ART. 235</t>
  </si>
  <si>
    <t>AUTORIZACION DE PAGO 2 DEL  CONTRATO 471  DE 2018 - DEL 01-10-2018 AL 31-10-2018 - LINEA G.  HONORARIOS ART. 235</t>
  </si>
  <si>
    <t>CONTRATO 570/2018 LUIS ANGEL HERNANDEZ SABOGAL</t>
  </si>
  <si>
    <t>AUTORIZACION DE PAGO 1  DEL CONTRATO 570 DE 2018 - DEL  01/11/2018 AL 30/11/2018. LINEA C - HONORARIOS ART. 235</t>
  </si>
  <si>
    <t>AUTORIZACION DE PAGO 2  DEL CONTRATO 570 DE 2018 - DEL  01/12/2018 AL 31/12/2018. LINEA C - HONORARIOS ART. 235</t>
  </si>
  <si>
    <t>CONTRATO 016/2019 JHOANNA MARINA CELEDON OÑATE</t>
  </si>
  <si>
    <t>AUTORIZACIÓN DE PAGO 01  CONTRATO 016  DE 2019 - DEL 09-01-2019 AL 31-01-2019 - OBJETO  A.  HONORARIOS ART. 235</t>
  </si>
  <si>
    <t>AUTORIZACION DE PAGO 02  CONTRATO 016  DE 2019 - DEL 01-02-2019 AL 28-02-2019 - OBJETO  A.  HONORARIOS ART. 235</t>
  </si>
  <si>
    <t>AUTORIZACION DE PAGO 03  CONTRATO 016  DE 2019 - DEL 01-03-2019 AL 31-03-02-2019 - OBJETO  A.  HONORARIOS ART. 235</t>
  </si>
  <si>
    <t>AUTORIZACION DE PAGO 04  CONTRATO 016  DE 2019 - DEL 01-04-2019 AL 30-04-2019 - OBJETO  A.  HONORARIOS ART. 235</t>
  </si>
  <si>
    <t>AUTORIZACIÓN DE PAGO 05  CONTRATO 016  DE 2019 - DEL 01-05-2019 AL 31-05-2019 - OBJETO  A.  HONORARIOS ART. 235</t>
  </si>
  <si>
    <t>AUTORIZACION DE PAGO 06  CONTRATO 016  DE 2019 - DEL 01-06-2019 AL 30-06-2019 - OBJETO  A.  HONORARIOS ART. 235</t>
  </si>
  <si>
    <t>AUTORIZACION DE PAGO 07  CONTRATO 016  DE 2019 - DEL 01-07-2019 AL 31-07-2019 - OBJETO  A.  HONORARIOS ART. 235</t>
  </si>
  <si>
    <t>AUTORIZACION DE PAGO 08  CONTRATO 016  DE 2019 - DEL 01-08-2019 AL 31-08-2019 - OBJETO  A.  HONORARIOS ART. 235</t>
  </si>
  <si>
    <t>PAGO 9  DE HONORARIOS DEL  CONTRATO 016  DE 2019 - DEL 01-09-2019 AL 30-09-2019</t>
  </si>
  <si>
    <t>PAGO 10  DE HONORARIOS DEL  CONTRATO 016  DE 2019 - DEL 01-10-2019 AL 31-10-2019</t>
  </si>
  <si>
    <t>PAGO 11  DE HONORARIOS DEL  CONTRATO 016  DE 2019 - DEL MES DE NOVIEMBRE DE 2019</t>
  </si>
  <si>
    <t>PAGO 12  DE HONORARIOS DEL  CONTRATO 016  DE 2019 - DEL MES DE DICIEMBRE DE 2019</t>
  </si>
  <si>
    <t>CONTRATO 051/2019 JHON ALEXANDER JIMENEZ TRIVIÑO</t>
  </si>
  <si>
    <t>AUTORIZACION DE  PAGO 1 DEL CONTRATO 051 DE 2019 - DEL 25-01-2019 AL 31-01-2019. OBJETO H .- HONORARIOS-ART.235</t>
  </si>
  <si>
    <t>AUTORIZACION DE  PAGO 2  DEL CONTRATO 051 DE 2019 - DEL 01-02-2019 AL 28-02-2019. OBJETO H .- HONORARIOS-ART.235</t>
  </si>
  <si>
    <t>AUTORIZACION DE  PAGO 3  DEL CONTRATO 051 DE 2019 - DEL 01-03-2019 AL 31-03-2019. OBJETO H .- HONORARIOS-ART.235</t>
  </si>
  <si>
    <t>AUTORIZACION DE  PAGO 4  DEL CONTRATO 051 DE 2019 - DEL 01-04-2019 AL 30-04-2019. OBJETO H .- HONORARIOS-ART.235</t>
  </si>
  <si>
    <t>AUTORIZACION DE  PAGO 5  DEL CONTRATO 051 DE 2019 - DEL 01-05-2019 AL 31-05-2019. OBJETO H .- HONORARIOS-ART.235</t>
  </si>
  <si>
    <t>AUTORIZACION DE  PAGO 6  DEL CONTRATO 051 DE 2019 - DEL 01-06-2019 AL 30-06-2019. OBJETO H .- HONORARIOS-ART.235</t>
  </si>
  <si>
    <t>AUTORIZACION DE  PAGO 7  DEL CONTRATO 051 DE 2019 - DEL 01-07-2019 AL 31-07-2019. OBJETO H .- HONORARIOS-ART.235</t>
  </si>
  <si>
    <t>PAGO DE HONORARIO CONTRATO 051 DE 2019 - PAGO 8 - DEL 01 AL 31-08-2019</t>
  </si>
  <si>
    <t>PAGO 9  DE HONORARIOS DEL  CONTRATO 051  DE 2019 - DEL 01-09-2019 AL 30-09-2019</t>
  </si>
  <si>
    <t>PAGO 10  DE HONORARIOS DEL  CONTRATO 051  DE 2019 - DEL 01-10-2019 AL 31-10-2019</t>
  </si>
  <si>
    <t>PAGO 11  DE HONORARIOS DEL  CONTRATO 051  DE 2019 - DEL MES DE NOVIEMBRE DE 2019</t>
  </si>
  <si>
    <t>PAGO 12  DE HONORARIOS DEL  CONTRATO 051  DE 2019 - DEL MES DE DICIEMBRE DE 2019</t>
  </si>
  <si>
    <t>CONTRATO 019/2019 JOHANN MAURICIO LOPEZ MALAGON</t>
  </si>
  <si>
    <t>AUTORIZACIÓN DE PAGO 01  CONTRATO 019  DE 2019 - DEL 11-01-2019 AL 31-01-2019 - OBJETO  A.  HONORARIOS ART. 235</t>
  </si>
  <si>
    <t>AUTORIZACION DE PAGO 02  CONTRATO 019  DE 2019 - DEL 01-02-2019 AL 28-02-2019 - OBJETO  A.  HONORARIOS ART. 235</t>
  </si>
  <si>
    <t>AUTORIZACION DE PAGO 03  CONTRATO 019  DE 2019 - DEL 01-03-2019 AL 31-03-2019 - OBJETO  A.  HONORARIOS ART. 235</t>
  </si>
  <si>
    <t>AUTORIZACION DE PAGO 04  CONTRATO 019  DE 2019 - DEL 01-04-2019 AL 30-04-2019 - OBJETO  A.  HONORARIOS ART. 235</t>
  </si>
  <si>
    <t>AUTORIZACIÓN DE PAGO 05  CONTRATO 019  DE 2019 - DEL 01-05-2019 AL 31-05-2019 - OBJETO  A.  HONORARIOS ART. 235</t>
  </si>
  <si>
    <t>AUTORIZACION DE PAGO 06  CONTRATO 019  DE 2019 - DEL 01-06-2019 AL 30-06-2019 - OBJETO  A.  HONORARIOS ART. 235</t>
  </si>
  <si>
    <t>AUTORIZACION DE PAGO 07  CONTRATO 019  DE 2019 - DEL 01-07-2019 AL 31-07-2019 - OBJETO  A.  HONORARIOS ART. 235</t>
  </si>
  <si>
    <t>AUTORIZACIÓN DE PAGO 08 CONTRATO 019  DE 2019 - DEL 01-08-2019 AL 31-08-2019 - OBJETO  A.  HONORARIOS ART. 235</t>
  </si>
  <si>
    <t>PAGO 9  DE HONORARIOS DEL  CONTRATO 019  DE 2019 - DEL 01-09-2019 AL 30-09-2019</t>
  </si>
  <si>
    <t>PAGO 10  DE HONORARIOS DEL  CONTRATO 019  DE 2019 - DEL 01-10-2019 AL 31-10-2019</t>
  </si>
  <si>
    <t>PAGO 11  DE HONORARIOS DEL  CONTRATO 019  DE 2019 - DEL  MES DE NOVIEMBRE  DE 2019</t>
  </si>
  <si>
    <t>PAGO 12  DE HONORARIOS DEL  CONTRATO 019  DE 2019 - DEL  MES DE DICIEMBRE  DE 2019</t>
  </si>
  <si>
    <t>CONTRATO 003/2019 JULIAN DAVID PEÑA MARTINEZ</t>
  </si>
  <si>
    <t>AUTORIZACIÓN DE PAGO 1  DEL CONTRATO 003  DE 2019 - DEL  03/01/2019 AL 31/01/2019 LINEA C - HONORARIOS ART. 235</t>
  </si>
  <si>
    <t>AUTORIZACION DE PAGO 2  DEL CONTRATO 003  DE 2019 - DEL  01/02/2019 AL 28/02/2019 LINEA H- HONORARIOS ART. 235</t>
  </si>
  <si>
    <t>AUTORIZACION DE PAGO 3  DEL CONTRATO 003  DE 2019 - DEL  01/03/2019 AL 31/03/2019 LINEA H- HONORARIOS ART. 235</t>
  </si>
  <si>
    <t>AUTORIZACION DE PAGO 4  DEL CONTRATO 003  DE 2019 - DEL  01/04/2019 AL 30/04/2019 LINEA H- HONORARIOS ART. 235</t>
  </si>
  <si>
    <t>AUTORIZACION DE PAGO  5  DEL CONTRATO 003  DE 2019 - DEL  01/05/2019 AL 31/05/2019 LINEA H- HONORARIOS ART. 235</t>
  </si>
  <si>
    <t>AUTORIZACION DE PAGO  6  DEL CONTRATO 003  DE 2019 - DEL  01/06/2019 AL 30/06/2019 LINEA H- HONORARIOS ART. 235</t>
  </si>
  <si>
    <t>AUTORIZACION DE PAGO  7  DEL CONTRATO 003  DE 2019 - DEL  01/07/2019 AL 31/07/2019 LINEA H- HONORARIOS ART. 235</t>
  </si>
  <si>
    <t>AUTORIZACIÓN DE PAGO  8  DEL CONTRATO 003  DE 2019 - DEL  01/08/2019 AL 31/08/2019 LINEA H- HONORARIOS ART. 235</t>
  </si>
  <si>
    <t>AUTORIZACION DE PAGO  9 DEL CONTRATO 003  DE 2019 - DEL  01/09/2019 AL 30/09/2019 LINEA H- HONORARIOS ART. 424</t>
  </si>
  <si>
    <t>AUTORIZACION DE PAGO  10 DEL CONTRATO 003  DE 2019 - DEL  01/10/2019 AL 31/10/2019 LINEA H- HONORARIOS ART. 424</t>
  </si>
  <si>
    <t>AUTORIZACION DE PAGO  11 DEL CONTRATO 003  DE 2019 - DEL MES DE NOVIEMBRE DE 2019 LINEA H- HONORARIOS ART. 424</t>
  </si>
  <si>
    <t>AUTORIZACION DE PAGO  12 DEL CONTRATO 003  DE 2019 - DEL  DICIEMBRE DE 2019 LINEA H- HONORARIOS ART. 424</t>
  </si>
  <si>
    <t>CONTRATO 025/2019 MARIA ALEJANDRA SANTOS YEPES</t>
  </si>
  <si>
    <t>AUTORIZACIÓN DE PAGO 1  CONTRATO 025  DE 2019 - DEL 15-01-2019 AL 31-01-2019 - OBJETO B.  HONORARIOS ART. 235</t>
  </si>
  <si>
    <t>AUTORIZACION DE PAGO 2  CONTRATO 025  DE 2019 - DEL 01-02-2019 AL 28-02-2019 - OBJETO C.  HONORARIOS ART. 235</t>
  </si>
  <si>
    <t>AUTORIZACION DE PAGO 3  CONTRATO 025  DE 2019 - DEL 01-03-2019 AL 31-03-2019 - OBJETO C.  HONORARIOS ART. 235</t>
  </si>
  <si>
    <t>AUTORIZACION DE PAGO 4  CONTRATO 025  DE 2019 - DEL 01-04-2019 AL 30-04-2019 - OBJETO C.  HONORARIOS ART. 235</t>
  </si>
  <si>
    <t>AUTORIZACION DE PAGO 5 CONTRATO 025  DE 2019 - DEL 01-05-2019 AL 31-05-2019 - OBJETO C.  HONORARIOS ART. 235</t>
  </si>
  <si>
    <t>AUTORIZACION DE PAGO 6 CONTRATO 025  DE 2019 -DEL 01-06-2019 AL 30-06-2019.  - OBJETO C.  HONORARIOS ART. 235</t>
  </si>
  <si>
    <t>AUTORIZACIÓN DE PAGO 7 CONTRATO 025  DE 2019 -DEL 01-07-2019 AL 31-07-2019.  - OBJETO C.  HONORARIOS ART. 235</t>
  </si>
  <si>
    <t>AUTORIZACION DE PAGO 8 CONTRATO 025  DE 2019 -DEL 01-08-2019 AL 31-08-2019.  - OBJETO C.  HONORARIOS ART. 235</t>
  </si>
  <si>
    <t>AUTORIZACION DE PAGO 9 CONTRATO 025  DE 2019 -DEL 01-09-2019 AL 30-09-2019.  - OBJETO C.  HONORARIOS ART. 424</t>
  </si>
  <si>
    <t>AUTORIZACION DE PAGO 10 CONTRATO 025  DE 2019 -DEL MES DE OCTUBRE DE 2019.  - OBJETO C.  HONORARIOS ART. 424</t>
  </si>
  <si>
    <t>AUTORIZACION DE PAGO 11 CONTRATO 025  DE 2019 -DEL MES DE NOVIEMBRE  DE 2019.  - OBJETO C.  HONORARIOS ART. 424</t>
  </si>
  <si>
    <t>AUTORIZACION DE PAGO 12 CONTRATO 025  DE 2019 -DEL MES DE DICIEMBRE DE 2019.  - OBJETO C.  HONORARIOS ART. 424</t>
  </si>
  <si>
    <t>CONTRATO 022/2019 SANDRA JOHANNA NAVIA GOMEZ</t>
  </si>
  <si>
    <t>AUTORIZACION DE  PAGO 1 DEL CONTRATO 022 DE 2019 - DEL 14-01-2019 AL 31-01-2019. OBJETO C .- HONORARIOS-ART.235</t>
  </si>
  <si>
    <t>AUTORIZACION DE  PAGO 2 DEL CONTRATO 022 DE 2019 - DEL 01-02-2019 AL 28-02-2019. OBJETO C .- HONORARIOS-ART.235</t>
  </si>
  <si>
    <t>AUTORIZACION DE  PAGO 3 DEL CONTRATO 022 DE 2019 - DEL 01-03-2019 AL 31-03-2019. OBJETO C .- HONORARIOS-ART.235</t>
  </si>
  <si>
    <t>AUTORIZACIÓN DE  PAGO 4 DEL CONTRATO 022 DE 2019 - DEL 01-04-2019 AL 30-04-2019. OBJETO C .- HONORARIOS-ART.235</t>
  </si>
  <si>
    <t>AUTORIZACIÓN DE  PAGO 5 DEL CONTRATO 022 DE 2019 - DEL 01-05-2019 AL 31-05-2019. OBJETO C .- HONORARIOS-ART.235</t>
  </si>
  <si>
    <t>AUTORIZACION DE  PAGO 6 DEL CONTRATO 022 DE 2019 - DEL 01-06-2019 AL 30-06-2019. OBJETO C .- HONORARIOS-ART.235</t>
  </si>
  <si>
    <t>AUTORIZACION DE  PAGO 7 DEL CONTRATO 022 DE 2019 - DEL 01-07-2019 AL 31-07-2019. OBJETO C .- HONORARIOS-ART.235</t>
  </si>
  <si>
    <t>AUTORIZACION DE  PAGO 8 DEL CONTRATO 022 DE 2019 - DEL 01-08-2019 AL 31-08-2019. OBJETO C .- HONORARIOS-ART.235</t>
  </si>
  <si>
    <t>AUTORIZACION DE  PAGO 9 DEL CONTRATO 022 DE 2019 - DEL 01-09-2019 AL 30-09-2019. OBJETO C .- HONORARIOS-ART.424</t>
  </si>
  <si>
    <t>AUTORIZACION DE  PAGO10 DEL CONTRATO 022 DE 2019 - DEL MES DE OCTUBRE DE 2019. OBJETO C .- HONORARIOS-ART.424</t>
  </si>
  <si>
    <t>AUTORIZACION DE  PAGO11 DEL CONTRATO 022 DE 2019 - DEL MES DE NOVIEMBRE DE 2019. OBJETO C .- HONORARIOS-ART.424</t>
  </si>
  <si>
    <t>AUTORIZACION DE  PAGO 12 DEL CONTRATO 022 DE 2019 - DEL MES DE DICIEMBRE DE 2019. OBJETO C .- HONORARIOS-ART.424</t>
  </si>
  <si>
    <t>CONTRATO 029/2019 SHARON SASTY STEFAN GONZALEZ ESCORCIA</t>
  </si>
  <si>
    <t>AUTORIZACION DE PAGO 1  CONTRATO 029 DE 2019 - DEL 17 AL 31  DE ENERO DE 2019   - OBJETO C  HONORARIOS ART. 235</t>
  </si>
  <si>
    <t>AUTORIZACION DE PAGO 2  CONTRATO 029 DE 2019 - DEL 01 AL 28  DE FEBRERO DE 2019   - OBJETO C  HONORARIOS ART. 235</t>
  </si>
  <si>
    <t>AUTORIZACION DE PAGO 3  CONTRATO 029 DE 2019 - DEL 01 AL 31  DE MARZO DE 2019   - OBJETO C  HONORARIOS ART. 235</t>
  </si>
  <si>
    <t>AUTORIZACION DE PAGO 4  CONTRATO 029 DE 2019 - DEL 01 AL 30 DE ABRIL  DE 2019   - OBJETO C  HONORARIOS ART. 235</t>
  </si>
  <si>
    <t>AUTORIZACIÓN DE PAGO 5  CONTRATO 029 DE 2019 - DEL 01 AL 31 DE MAYO   DE 2019   - OBJETO C  HONORARIOS ART. 235</t>
  </si>
  <si>
    <t>AUTORIZACION DE PAGO 6  CONTRATO 029 DE 2019 - DEL 01 AL 30 DE JUNIO   DE 2019   - OBJETO C  HONORARIOS ART. 235</t>
  </si>
  <si>
    <t>AUTORIZACION DE PAGO 1 DESPLAZAMIENTOS CONTRATO 029 DE 2019 - DEL 01 AL 30 DE JUNIO DE 2019   - OBJETO C  HONORARIOS ART. 235</t>
  </si>
  <si>
    <t>AUTORIZACION DE PAGO 7  CONTRATO 029 DE 2019 - DEL 01 AL 31 DE JULIO DE 2019   - OBJETO C  HONORARIOS ART. 235</t>
  </si>
  <si>
    <t>AUTORIZACION DE PAGO 2 UNA PARTE PARA  REEMBOLSO  ART 643 POR   $ 746.130,00  Y OTRA PARTE -HONORARIOS  ART -235 POR  $1.143.530,00 CONTRATO 029  DE 2019 -  DEL 01-07-2019 AL 31-07-2019 - LINEA C,</t>
  </si>
  <si>
    <t>AUTORIZACION DE PAGO 8  CONTRATO 029 DE 2019 - DEL 01 AL 31 DE AGOSTO DE 2019   - OBJETO C  HONORARIOS ART. 235</t>
  </si>
  <si>
    <t>AUTORIZACION DE PAGO 3 DESPLAZAMIENTO UNA PARTE PARA PARA  REEMBOLSO  ART 643 POR   $ 1.245.660,00  Y OTRA PARTE -HONORARIOS  ART -235 POR  $1.554.795,00 CONTRATO 029  DE 2019 -  DEL 01-08-2019 AL 31-08-2019 - LINEA C,</t>
  </si>
  <si>
    <t>AUTORIZACION DE PAGO 9  CONTRATO 029 DE 2019 - DEL 01 AL 30 DE SEPTIEMBRE DE 2019   - OBJETO C  HONORARIOS ART. 424</t>
  </si>
  <si>
    <t>AUTORIZACION DE PAGO 4 DESPLAZAMIENTOS: HONORARIOS ART 424 POR $1.539.795 Y GASTOS DE VIAJE  ART -141 POR  $2.765.622  CONTRATO 029  DE 2019 -  DEL 01-09-2019 AL 30-09-2019</t>
  </si>
  <si>
    <t>AUTORIZACION DE PAGO 10  CONTRATO 029 DE 2019 - DEL 01 AL 31 DE OCTUBRE DE 2019   - OBJETO C  HONORARIOS ART. 424</t>
  </si>
  <si>
    <t>AUTORIZACION DE PAGO 5 DESPLAZAMIENTOS: HONORARIOS ART 424 POR $ 1.031.530  Y GASTOS DE VIAJE  ART -141 POR  $1.046.180  CONTRATO 029  DE 2019 -  DEL MES DE OCTUBRE  DE 2019</t>
  </si>
  <si>
    <t>AUTORIZACION DE PAGO 11  CONTRATO 029 DE 2019 - DEL MES DE NOVIEMBRE DE 2019   - OBJETO C  HONORARIOS ART. 424</t>
  </si>
  <si>
    <t>AUTORIZACION DE PAGO 12  CONTRATO 029 DE 2019 - DEL MES DE DICIEMBRE DE 2019   - OBJETO C  HONORARIOS ART. 424</t>
  </si>
  <si>
    <t>CONTRATO 009/2019 SONIA CLARENA ORJUELA PARRA</t>
  </si>
  <si>
    <t>AUTORIZACION DE PAGO 01  CONTRATO 009  DE 2019 - DEL 04-01-2019 AL 31-01-2019 - LINEA A.  HONORARIOS ART. 235</t>
  </si>
  <si>
    <t>AUTORIZACION DE PAGO 02  CONTRATO 009  DE 2019 - DEL 01-02-2019 AL 28-02-2019 - LINEA A.  HONORARIOS ART. 235</t>
  </si>
  <si>
    <t>AUTORIZACION PAGO 1 DESPLAZAMIENTOS DEL CONTRATO 009 DE 2019-  DEL 01-02-2019 AL 28-02-2019 . NO HACE PARTE DE LOS INGRESOS Y EL REEMBOLSO SE ENCUENTRA INCLUIDO DENTRO DEL CONTRATO ,NO APLICAR RETENCIONES  ART. 235</t>
  </si>
  <si>
    <t>AUTORIZACION DE PAGO 03  CONTRATO 009  DE 2019 - DEL 01-03-2019 AL 31-03-2019 - FACT. 118  LINEA A.  HONORARIOS ART. 235</t>
  </si>
  <si>
    <t>AUTORIZACION DE PAGO 04  CONTRATO 009  DE 2019 - DEL 01-04-2019 AL 30-04-2019 - FACT. 119  LINEA A.  HONORARIOS ART. 235</t>
  </si>
  <si>
    <t>AUTORIZACION DE PAGO 05  CONTRATO 009  DE 2019 - DEL 01-05-2019 AL 31-05-2019 - FACT. 120  LINEA A.  HONORARIOS ART. 235</t>
  </si>
  <si>
    <t>AUTORIZACION DE PAGO 06  CONTRATO 009  DE 2019 - DEL 01-06-2019 AL 30-06-2019 - FACT. 123  LINEA A.  HONORARIOS ART. 235</t>
  </si>
  <si>
    <t>AUTORIZACION DE PAGO 07  CONTRATO 009  DE 2019 - DEL 01-07-2019 AL 31-07-2019 - FACT. 124  LINEA A.  HONORARIOS ART. 235</t>
  </si>
  <si>
    <t>PAGO DE HONORARIO CONTRATO 009 DE 2019 - PAGO 8- DEL 01 AL 29-08-2019</t>
  </si>
  <si>
    <t>PAGO 9  DE HONORARIOS DEL  CONTRATO 009  DE 2019 - DEL 01-09-2019 AL 30-09-2019</t>
  </si>
  <si>
    <t>PAGO 10  DE HONORARIOS DEL  CONTRATO 009  DE 2019 - DEL 01-10-2019 AL 31-10-2019</t>
  </si>
  <si>
    <t>PAGO 11  DE HONORARIOS DEL  CONTRATO 009  DE 2019 - DEL MES DE NOVIEMBRE DE 2019</t>
  </si>
  <si>
    <t>PAGO 12  DE HONORARIOS DEL  CONTRATO 009  DE 2019 - DEL MES DE DICIEMBRE DE 2019</t>
  </si>
  <si>
    <t>CONTRATO 023/2019 JUAN CARLOS CALDERON FERNANDEZ</t>
  </si>
  <si>
    <t>AUTORIZACION DE PAGO 01  CONTRATO 023  DE 2019 - DEL 15-01-2019 AL 31-01-2019 - LINEA E. HONORARIOS ART. 235</t>
  </si>
  <si>
    <t>AUTORIZACION DE PAGO 02  CONTRATO 023  DE 2019 - DEL 01-02-2019 AL 28-02-2019 - LINEA E. HONORARIOS ART. 235</t>
  </si>
  <si>
    <t>AUTORIZACIÓN DE PAGO 03  CONTRATO 023  DE 2019 - DEL 01-03-2019 AL 31-03-2019 - LINEA E. HONORARIOS ART. 235</t>
  </si>
  <si>
    <t>AUTORIZACIÓN DE PAGO 04  CONTRATO 023  DE 2019 - DEL 01-04-2019 AL 30-04-2019 - LINEA E. HONORARIOS ART. 235</t>
  </si>
  <si>
    <t>AUTORIZACION DE PAGO 05  CONTRATO 023  DE 2019 - DEL 01-05-2019 AL 31-05-2019 - LINEA E. HONORARIOS ART. 235</t>
  </si>
  <si>
    <t>AUTORIZACION DE PAGO 06  CONTRATO 023  DE 2019 -DEL 01-06-2019 AL 30-06-2019.  - LINEA E. HONORARIOS ART. 235</t>
  </si>
  <si>
    <t>AUTORIZACION DE PAGO 07  CONTRATO 023  DE 2019 -DEL 01-07-2019 AL 31-07-2019.  - LINEA E. HONORARIOS ART. 235</t>
  </si>
  <si>
    <t>AUTORIZACION DE PAGO 08  CONTRATO 023  DE 2019 -DEL 01-08-2019 AL 31-08-2019.  - LINEA E. HONORARIOS ART. 235</t>
  </si>
  <si>
    <t>AUTORIZACION DE PAGO 09  CONTRATO 023  DE 2019 -DEL 01-09-2019 AL 30-09-2019.  - LINEA E. HONORARIOS ART. 424</t>
  </si>
  <si>
    <t>AUTORIZACION DE PAGO 10  CONTRATO 023  DE 2019 -DEL MES DE OCTUBRE-2019.  - LINEA E. HONORARIOS ART. 424</t>
  </si>
  <si>
    <t>AUTORIZACION DE PAGO 11  CONTRATO 023  DE 2019 -DEL MES DE NOVIEMBRE-2019.  - LINEA E. HONORARIOS ART. 424</t>
  </si>
  <si>
    <t>AUTORIZACION DE PAGO 12 DEL CONTRATO 023  DE 2019 - DEL  DICIEMBRE  DE 2019 LINEA E- HONORARIOS ART. 424</t>
  </si>
  <si>
    <t>CONTRATO 028/2019 FERNANDO SANTIAGO ARELLANO</t>
  </si>
  <si>
    <t>AUTORIZACIÓN DE  PAGO 1 DEL CONTRATO 028 DE 2019 - DEL 16-01-2019 AL 31-01-2019. OBJETO A .- HONORARIOS-ART.235  PRIMER PAGO</t>
  </si>
  <si>
    <t>AUTORIZACIÓN DE  PAGO 2 DEL CONTRATO 028 DE 2019 - DEL 01-02-2019 AL 28-02-2019. OBJETO A .- HONORARIOS-ART.235</t>
  </si>
  <si>
    <t>AUTORIZACION DE  PAGO 3 DEL CONTRATO 028 DE 2019 - DEL 01-03-2019 AL 31-03-2019. OBJETO A .- HONORARIOS-ART.235</t>
  </si>
  <si>
    <t>AUTORIZACION DE  PAGO 4 DEL CONTRATO 028 DE 2019 - DEL 01-04-2019 AL 30-04-2019. OBJETO A .- HONORARIOS-ART.235</t>
  </si>
  <si>
    <t>AUTORIZACION DE  PAGO 5 DEL CONTRATO 028 DE 2019 - DEL 01-05-2019 AL 31-05-2019. OBJETO A .- HONORARIOS-ART.235</t>
  </si>
  <si>
    <t>AUTORIZACION DE  PAGO 6 DEL CONTRATO 028 DE 2019 - DEL 01-06-2019 AL 30-06-2019. OBJETO A .- HONORARIOS-ART.235</t>
  </si>
  <si>
    <t>AUTORIZACION DE  PAGO 7 DEL CONTRATO 028 DE 2019 - DEL 01-07-2019 AL 31-07-2019. OBJETO A .- HONORARIOS-ART.235</t>
  </si>
  <si>
    <t>PAGO HONORARIOS CONTRATO 028 DE 2019 - PAGO 8° - DEL 01 AL 31-08-2019</t>
  </si>
  <si>
    <t>PAGO 9  DE HONORARIOS DEL  CONTRATO 028  DE 2019 - DEL 01-09-2019 AL 30-09-2019</t>
  </si>
  <si>
    <t>AUTORIZACION DE PAGO 10 CONTRATO 028 DE 2019 - DEL MES DE OCTUBRE-2019 - OBJETO A HONORARIOS ART. 424</t>
  </si>
  <si>
    <t>AUTORIZACION DE PAGO 11 CONTRATO 028  DE 2019 -DEL MES DE NOVIEMBRE  DE 2019.  - OBJETO A.  HONORARIOS ART. 424</t>
  </si>
  <si>
    <t>AUTORIZACION DE PAGO 12 CONTRATO 028 DE 2019 - DEL MES DE DICIEMBRE-2019 - OBJETO A HONORARIOS ART. 424</t>
  </si>
  <si>
    <t>CONTRATO 033/2019 DIEGO FERNANDO RUBIO</t>
  </si>
  <si>
    <t>AUTORIZACION DE  PAGO 1  DEL CONTRATO 033 DE 2019 - DEL 18-12-2019 AL 31-12-2019. LINEA A.- HONORARIOS</t>
  </si>
  <si>
    <t>AUTORIZACIÓN  DE  PAGO 2 DEL CONTRATO 033 DE 2019 - DEL 01-02-2019 AL 28-02-2019. LINEA A.- HONORARIOS</t>
  </si>
  <si>
    <t>AUTORIZACION DE  PAGO 3 DEL CONTRATO 033 DE 2019 - DEL 01-03-2019 AL 31-03-2019. LINEA A.- HONORARIOS</t>
  </si>
  <si>
    <t>AUTORIZACION DE  PAGO 4 DEL CONTRATO 033 DE 2019 - DEL 01-04-2019 AL 30-04-2019. LINEA A.- HONORARIOS</t>
  </si>
  <si>
    <t>AUTORIZACION DE  PAGO 5 DEL CONTRATO 033 DE 2019 - DEL 01-05-2019 AL 31-05-2019. LINEA A.- HONORARIOS</t>
  </si>
  <si>
    <t>AUTORIZACION DE  PAGO 6 DEL CONTRATO 033 DE 2019 - DEL 01-06-2019 AL 30-06-2019. LINEA A.- HONORARIOS</t>
  </si>
  <si>
    <t>AUTORIZACION DE  PAGO 7 DEL CONTRATO 033 DE 2019 - DEL 01 AL 31 DE JUlIO DE 2019. LINEA A.- HONORARIOS-ART.235</t>
  </si>
  <si>
    <t>AUTORIZACION DE  PAGO 8 DEL CONTRATO 033 DE 2019 - DEL 01 AL 31 DE AGOSTO DE 2019. LINEA A.- HONORARIOS-ART.235</t>
  </si>
  <si>
    <t>AUTORIZACION DE PAGO  9 DEL CONTRATO 033  DE 2019 - DEL  SEPTIEMBRE  DE 2019 LINEA A- HONORARIOS ART. 424</t>
  </si>
  <si>
    <t>CONTRATO 027/2019 FABIAN ROBERTO CORDON SOTO</t>
  </si>
  <si>
    <t>AUTORIZACION DE PAGO 1 DEL  CONTRATO 027  DE 2019 - DEL 16-01-2019 AL 31-01-2019 - LINEA E.  HONORARIO ART No.235</t>
  </si>
  <si>
    <t>AUTORIZACION DE PAGO 2 DEL  CONTRATO 027  DE 2019 - DEL 01-02-2019 AL 28-02-2019 - LINEA E.  HONORARIO ART No.235</t>
  </si>
  <si>
    <t>AUTORIZACION DE PAGO 3 DEL  CONTRATO 027  DE 2019 - DEL 01-03-2019 AL 31-03-2019 - LINEA E.  HONORARIO ART No.235</t>
  </si>
  <si>
    <t>AUTORIZACION DE PAGO 4 DEL  CONTRATO 027  DE 2019 - DEL 01-04-2019 AL 30-04-2019 - LINEA E.  HONORARIO ART No.235</t>
  </si>
  <si>
    <t>AJUSTE DE PAGO 1 DEL  CONTRATO 027  DE 2019 - DEL 16-01-2019 AL 31-01-2019 -  EL CUAL SE PAGO UN MENOR VALOR EN EL VOUCHER No. 814 EL 20 DE FEBRERO DE 2019 , LINEA E.  HONORARIO ART No.235.</t>
  </si>
  <si>
    <t>AUTORIZACION DE PAGO 5 DEL  CONTRATO 027  DE 2019 - DEL 01-05-2019 AL 31-05-2019 - LINEA E.  HONORARIO ART No.235</t>
  </si>
  <si>
    <t>AUTORIZACION DE PAGO 6 DEL  CONTRATO 027  DE 2019 - DEL 01-06-2019 AL 30-06-2019 - LINEA E.  HONORARIO ART No.235</t>
  </si>
  <si>
    <t>AUTORIZACION DE PAGO 7 DEL  CONTRATO 027  DE 2019 - DEL 01-07-2019 AL 31-07-2019 - LINEA E.  HONORARIO ART No.235</t>
  </si>
  <si>
    <t>PAGO 8  DE HONORARIOS DEL  CONTRATO 027  DE 2019 - DEL 01-08-2019 AL 31-08-2019</t>
  </si>
  <si>
    <t>PAGO 9  DE HONORARIOS DEL  CONTRATO 027  DE 2019 - MES DE SEPTIEMBRE  DE 2019</t>
  </si>
  <si>
    <t>PAGO 10  DE HONORARIOS DEL  CONTRATO 027  DE 2019 - MES DE OCTUBRE  DE 2019</t>
  </si>
  <si>
    <t>PAGO 11  DE HONORARIOS DEL  CONTRATO 027  DE 2019 - MES DE NOVIEMBRE  DE 2019</t>
  </si>
  <si>
    <t>PAGO 12  DE HONORARIOS DEL  CONTRATO 027  DE 2019 - DEL MES DE DICIEMBRE DE 2019</t>
  </si>
  <si>
    <t>CONTRATO 015/2019 DU BRANDS SAS</t>
  </si>
  <si>
    <t>AUTORIZACION DE  PAGO 1 DEL CONTRATO 015 DE 2019 - DEL 09-01-2019 AL 31-01-2019. LINEA A.- HONORARIOS ART. 235</t>
  </si>
  <si>
    <t>AUTORIZACION DE  PAGO 2 DEL CONTRATO 015 DE 2019 - DEL 01-02-2019 AL 28-02-2019. LINEA A.- HONORARIOS ART. 235</t>
  </si>
  <si>
    <t>AUTORIZACION DE  PAGO 3 DEL CONTRATO 015 DE 2019 - DEL 01-02-2019 AL 28-02-2019. LINEA A.- HONORARIOS ART. 235</t>
  </si>
  <si>
    <t>AUTORIZACION DE  PAGO 4 DEL CONTRATO 015 DE 2019 - DEL 01-04-2019 AL 30-04-2019. LINEA A.- HONORARIOS ART. 235</t>
  </si>
  <si>
    <t>AUTORIZACION DE  PAGO 5 DEL CONTRATO 015 DE 2019 - DEL 01-05-2019 AL 31-05-2019. LINEA A.-  FACTURA 5556 -HONORARIOS ART. 235</t>
  </si>
  <si>
    <t>AUTORIZACION DE  PAGO 6 DEL CONTRATO 015 DE 2019 -  DEL 01-06-2019 AL 30-06-2019. LINEA A.-  FACTURA 5629 -HONORARIOS ART. 235</t>
  </si>
  <si>
    <t>AUTORIZACION DE  PAGO 7 DEL CONTRATO 015 DE 2019 -  DEL 01-07-2019 AL 31-07-2019. LINEA A.-  FACTURA 5629 -HONORARIOS ART. 235</t>
  </si>
  <si>
    <t>AUTORIZACION DE  PAGO 8 DEL CONTRATO 015 DE 2019 -  DEL 01-08-2019 AL 31-08-2019. LINEA A.-  FACTURA 5629 -HONORARIOS ART. 235</t>
  </si>
  <si>
    <t>PAGO 9  DE HONORARIOS DEL  CONTRATO 015  DE 2019 - DEL 01-09-2019 AL 30-09-2019</t>
  </si>
  <si>
    <t>PAGO 10 DE HONORARIOS DEL  CONTRATO 015  DE 2019 - DEL 01-10-2019 AL 31-10-2019</t>
  </si>
  <si>
    <t>PAGO 11  DE HONORARIOS DEL  CONTRATO 015  DE 2019 - DEL MES DE NOVIEMBRE DE 2019</t>
  </si>
  <si>
    <t>PAGO 12 DE HONORARIOS DEL  CONTRATO 015  DE 2019 PERIODO DICIEMBRE DE 2019</t>
  </si>
  <si>
    <t>CONTRATO 050/2019 DIANA PATRICIA PRIETO TRIVIÑO</t>
  </si>
  <si>
    <t>AUTORIZACION DE PAGO 1 DEL  CONTRATO 050  DE 2019 - DEL 29-01-2019 AL 31-01-2019 - LINEA A.  HONORARIO ART No.235</t>
  </si>
  <si>
    <t>AUTORIZACION DE PAGO 2 DEL  CONTRATO 050  DE 2019 - DEL 01-02-2019 AL 28-02-2019 - LINEA A.  HONORARIO ART No.235</t>
  </si>
  <si>
    <t>AUTORIZACION DE PAGO 3 DEL  CONTRATO 050  DE 2019 - DEL 01-03-2019 AL 31-03-2019 - LINEA A.  HONORARIO ART No.235</t>
  </si>
  <si>
    <t>AUTORIZACION DE PAGO 4 DEL  CONTRATO 050  DE 2019 - DEL 01-04-2019 AL 30-04-2019 - LINEA A.  HONORARIO ART No.235</t>
  </si>
  <si>
    <t>AUTORIZACION DE PAGO 5 DEL  CONTRATO 050  DE 2019 - DEL 01-05-2019 AL 31-05-2019 - LINEA A.  HONORARIO ART No.235</t>
  </si>
  <si>
    <t>AUTORIZACIÓN DE PAGO 6 DEL  CONTRATO 050  DE 2019 - DEL 01-06-2019 AL 30-06-2019 - LINEA A.  HONORARIO ART No.235</t>
  </si>
  <si>
    <t>AUTORIZACION DE PAGO 07  DEL  CONTRATO 050  DE 2019 - DEL 01-07-2019 AL 31-07-2019 - LINEA A.  HONORARIO ART No.235</t>
  </si>
  <si>
    <t>AUTORIZACION DE PAGO 08  DEL  CONTRATO 050  DE 2019 - DEL 01-08-2019 AL 31-08-2019 - LINEA A.  HONORARIO ART No.235</t>
  </si>
  <si>
    <t>CONTRATO 052/2019 VIVIANA MARCELA PEDRAZA SERRANO</t>
  </si>
  <si>
    <t>AUTORIZACION DE PAGO 1  DEL CONTRATO 052 DE 2019 - DEL  25/01/2019 AL 31/01/2019. OBJETO G - HONORARIOS ART. 235</t>
  </si>
  <si>
    <t>AUTORIZACION DE PAGO 2 DEL CONTRATO 052 DE 2019 DEL 01/02/2019 AL 28/02/2019. OBJETO G-HONORARIOS ART.235</t>
  </si>
  <si>
    <t>AUTORIZACION DE PAGO 3  DEL CONTRATO 052 DE 2019 - DEL  01/03/2019 AL 31/03/2019. OBJETO G - HONORARIOS ART. 235</t>
  </si>
  <si>
    <t>AUTORIZACION DE PAGO 4  DEL CONTRATO 052 DE 2019 - DEL  01/04/2019 AL 30/04/2019. OBJETO G - HONORARIOS ART. 235</t>
  </si>
  <si>
    <t>AUTORIZACION DE PAGO 5  DEL CONTRATO 052 DE 2019 - DEL  01/05/2019 AL 31/05/2019. OBJETO G - HONORARIOS ART. 235</t>
  </si>
  <si>
    <t>AUTORIZACIÓN PAGO 1 DESPLAZAMIENTOS DEL CONTRATO 052 DE 2019-  DEL 01-05-2019 AL 31-05-2019</t>
  </si>
  <si>
    <t>AUTORIZACION DE PAGO 6  DEL CONTRATO 052 DE 2019 - DEL  DEL 01-06-2019 AL 30-06-2019. OBJETO G - HONORARIOS ART. 235</t>
  </si>
  <si>
    <t>AUTORIZACION PAGO 2 DESPLAZAMIENTOS POR HONORARIOS  DEL CONTRATO 052 DE 2019-  DEL 01-06-2019 AL 30-06-2019</t>
  </si>
  <si>
    <t>AUTORIZACION DE PAGO 7  DEL CONTRATO 052 DE 2019 - DEL  01/07/2019 AL 31/07/2019. OBJETO G - HONORARIOS ART. 235</t>
  </si>
  <si>
    <t>AUTORIZACION DE PAGO 3 DESPLAZAMIENTO UNA PARTE PARA REEMBOLSO  ART 643 POR $ 487.380,00 Y GASTOS DE VIAJE POR - HONORARIOS  ART -235 POR $ 676.165 CONTRATO 052  DE 2019 -  DEL 01-07-2019 AL 31-07-2019 - LINEA G</t>
  </si>
  <si>
    <t>PAGO 8  DE HONORARIOS DEL  CONTRATO 052  DE 2019 - DEL 01-08-2019 AL 31-08-2019</t>
  </si>
  <si>
    <t>AUTORIZACION DE PAGO 4 DESPLAZAMIENTO UNA PARTE PARA REEMBOLSO  ART 643 POR $2.556.540 POR GASTOS DE VIAJE POR - HONORARIOS  ART -414 POR $1.716.495 CONTRATO 052  DE 2019 -  DEL 01-08-2019 AL 31-08-2019 - LINEA G</t>
  </si>
  <si>
    <t>AUTORIZACION DE PAGO 9  DEL CONTRATO 052 DE 2019 - DEL  01/09/2019 AL 30/09/2019. OBJETO G - HONORARIOS ART. 424</t>
  </si>
  <si>
    <t>AUTORIZACION DE PAGO 5 DESPLAZAMIENTOS: HONORARIOS ART 424 POR $ 1.487.629  Y GASTOS DE VIAJE  ART -141 POR  $2.908.182  CONTRATO 052  DE 2019 -  DEL 01-09-2019 AL 30-09-2019</t>
  </si>
  <si>
    <t>AUTORIZACION DE PAGO 10  DEL CONTRATO 052 DE 2019 - DEL  01/10/2019 AL 31/10/2019. OBJETO G - HONORARIOS ART. 424</t>
  </si>
  <si>
    <t>AUTORIZACION DE PAGO 6 DESPLAZAMIENTOS: GASTOS DE VIAJE (HONORARIOS) ART 424 POR $1.834.495 Y REEMBOLSO  ART -141 POR  $1,112,700 CONTRATO 052  DE 2019 -  DEL MES DE  OCTUBRE DE 2019</t>
  </si>
  <si>
    <t>AUTORIZACION DE PAGO 11  DEL CONTRATO 052 DE 2019 - PERIODO NOVIEMBRE DE 2019. OBJETO G - HONORARIOS ART. 424</t>
  </si>
  <si>
    <t>AUTORIZACION DE PAGO 12  DEL CONTRATO 052 DE 2019 DEL MES DE DICIEMBRE-OBJETO G - HONORARIOS ART. 424</t>
  </si>
  <si>
    <t xml:space="preserve">RESOLUCIÓN 5946/2019 INSTITUTO NACIONAL DE SALUD </t>
  </si>
  <si>
    <t>RESOLUCION 5946 DEL 28 -12-2018. TRASLADO DE RECURSOS DEL FONDO DE RIESGOS LABORALES AL INS. PARA INVESTIGACION DE SALUD LABORAL. ART. 643</t>
  </si>
  <si>
    <t>CONTRATO 032/2019 GUSTAVO EDUARDO ARENAS CAMPOS</t>
  </si>
  <si>
    <t>AUTORIZACION DE  PAGO 1 DEL CONTRATO 032 DE 2019 - DEL 18/01/2019 AL 31/01/2019. OBJETO C.- HONORARIOS-ART No.235</t>
  </si>
  <si>
    <t>AUTORIZACION DE  PAGO 2 DEL CONTRATO 032 DE 2019 - DEL 01/02/2019 AL 28/02/2019. OBJETO C.- HONORARIOS-ART No.235</t>
  </si>
  <si>
    <t>AUTORIZACION DE  PAGO 3 DEL CONTRATO 032 DE 2019 - DEL 01/03/2019 AL 31/03/2019. OBJETO C.- HONORARIOS-ART No.235</t>
  </si>
  <si>
    <t>AUTORIZACION DE  PAGO 4 DEL CONTRATO 032 DE 2019 - DEL 01/04/2019 AL 30/04/2019. OBJETO C.- HONORARIOS-ART No.235</t>
  </si>
  <si>
    <t>AUTORIZACION DE  PAGO 5 DEL CONTRATO 032 DE 2019 - DEL 01/05/2019 AL 31/05/2019. OBJETO C.- HONORARIOS-ART No.235</t>
  </si>
  <si>
    <t>AUTORIZACION DE  PAGO 6 DEL CONTRATO 032 DE 2019 - DEL 01/06/2019 AL 30/06/2019. OBJETO C.- HONORARIOS-ART No.235</t>
  </si>
  <si>
    <t>AUTORIZACION DE  PAGO 7 DEL CONTRATO 032 DE 2019 - DEL 01/07/2019 AL 31/07/2019. OBJETO C.- HONORARIOS-ART No.235</t>
  </si>
  <si>
    <t>AUTORIZACION DE  PAGO 8 DEL CONTRATO 032 DE 2019 - DEL 01/08/2019 AL 31/08/2019. OBJETO C.- HONORARIOS-ART No.235</t>
  </si>
  <si>
    <t>PAGO 9  DE HONORARIOS DEL  CONTRATO 032  DE 2019 - DEL 01-09-2019 AL 30-09-2019</t>
  </si>
  <si>
    <t>PAGO 10  DE HONORARIOS DEL  CONTRATO 032  DE 2019 - DEL 01-10-2019 AL 31-10-2019</t>
  </si>
  <si>
    <t>PAGO 11  DE HONORARIOS DEL  CONTRATO 032  DE 2019 - DEL MES DE NOVIEMBRE DE 2019</t>
  </si>
  <si>
    <t>PAGO 12  DE HONORARIOS DEL  CONTRATO 032  DE 2019 - DEL MES DE DICIEMBRE DE 2019</t>
  </si>
  <si>
    <t>CONTRATO 121/2019 LUIS JAVIER BONILLA PINILLA</t>
  </si>
  <si>
    <t>AUTORIZACION DE PAGO 1 DEL  CONTRATO 121  DE 2019 - DEL 22-02-2019 AL 28-02-2018 - LINEA G.  HONORARIOS</t>
  </si>
  <si>
    <t>AUTORIZACION DE PAGO 2 DEL  CONTRATO 121  DE 2018 - DEL 01-03-2019 AL 31-03-2019 - LINEA G.  HONORARIOS</t>
  </si>
  <si>
    <t>AUTORIZACIÓN DE PAGO 3 DEL  CONTRATO 121  DE 2019 - DEL 01-04-2019 AL 30-04-2019 - LINEA G.  HONORARIOS</t>
  </si>
  <si>
    <t>AUTORIZACION DE PAGO 4 DEL  CONTRATO 121  DE 2019 - DEL 01-05-2019 AL 31-05-2019 - LINEA G.  HONORARIOS ART 235</t>
  </si>
  <si>
    <t>AUTORIZACION DE PAGO 5 DEL  CONTRATO 121  DE 2019 - DEL 01-06-2019 AL 30-06-2019 - LINEA G.  HONORARIOS ART 235</t>
  </si>
  <si>
    <t>AUTORIZACION DE PAGO 1 DESPLAZAMIENTO  DEL CONTRATO 121  DE 2019 - DEL   DEL 01-06-2019 AL 30-06-2019. OBJETO G - HONORARIOS ART. 235</t>
  </si>
  <si>
    <t>AUTORIZACION DE PAGO 2 DESPLAZAMIENTOS CONTRATO 121  DE 2019 - DEL  01/07/2019 AL 31/07/2019. OBJETO G - HONORARIOS Y REEMBOLSO ART. 235 Y 243.</t>
  </si>
  <si>
    <t>AUTORIZACION DE PAGO 6 DEL  CONTRATO 121  DE 2019 - DEL 01 AL 31 DE JULIO DE 2019 - LINEA G.  HONORARIOS ART 235</t>
  </si>
  <si>
    <t>AUTORIZACION DE PAGO 3 UNA PARTE PARA  REEMBOLSO  ART 643 POR   $ 2.236.360  Y OTRA PARTE -HONORARIOS  ART -235 POR  $2.753.200 CONTRATO 121  DE 2019 -  DEL 01-08-2019 AL 31-08-2019 - LINEA G,</t>
  </si>
  <si>
    <t>AUTORIZACION DE PAGO 7 DEL  CONTRATO 121  DE 2019 - DEL 01 AL 31 DE AGOSTO DE 2019 - LINEA G.  HONORARIOS ART 235</t>
  </si>
  <si>
    <t>AUTORIZACION DE PAGO 4 DESPLAZAMIENTOS CONTRATO 121  DE 2019 - DEL  01/09/2019 AL 30/09/2019. OBJETO G - HONORARIOS POR VALOR DE $2.058.400,00 ART 424 Y REEMBOLSO POR VALOR DE $1.824.212 ART. 141</t>
  </si>
  <si>
    <t>AUTORIZACION DE PAGO 8 DEL  CONTRATO 121  DE 2019 - DEL 01 AL 30 DE SEPTIEMBRE DE 2019 - LINEA G.  HONORARIOS ART 424</t>
  </si>
  <si>
    <t>AUTORIZACION DE PAGO 5 DESPLAZAMIENTOS CONTRATO 121  DE 2019 - DEL  MES DE OCTUBRE DE 2019. OBJETO G - HONORARIOS POR VALOR DE $2.055.400 ART 424 Y GASTOS DE VIAJE POR VALOR DE $1.095.170 ART-. 141</t>
  </si>
  <si>
    <t>AUTORIZACION DE PAGO 9 DEL  CONTRATO 121  DE 2019 - DEL MES DE OCTUBRE DE 2019 - LINEA G.  HONORARIOS ART 424</t>
  </si>
  <si>
    <t>AUTORIZACION DE PAGO 10 DEL  CONTRATO 121  DE 2019 - DEL MES DE NOVIEBRE DE 2019 - LINEA G.  HONORARIOS ART 424</t>
  </si>
  <si>
    <t>AUTORIZACION DE PAGO 11 DEL  CONTRATO 121  DE 2019 - DEL MES DE DICIEMBRE DE 2019 - LINEA G.  HONORARIOS ART 424</t>
  </si>
  <si>
    <t>CONTRATO 079/2019 ORLANDO SARMIENTO TORRES</t>
  </si>
  <si>
    <t>AUTORIZACION DE PAGO 01  CONTRATO 079  DE 2019 - DEL 13-02-2019 AL 28-02-2019 - LINEA G HONORARIOS ART. 235</t>
  </si>
  <si>
    <t>AUTORIZACIÓN DE PAGO 02 CONTRATO 079  DE 2019 - DEL 01-03-2019 AL 31-03-2019 - LINEA G HONORARIOS ART. 235</t>
  </si>
  <si>
    <t>AUTORIZACION DE PAGO 03 CONTRATO 079  DE 2019 - DEL 01-04-2019 AL 30-04-2019 - LINEA G HONORARIOS ART. 235</t>
  </si>
  <si>
    <t>AUTORIZACION DE PAGO 04 CONTRATO 079  DE 2019 - DEL 01-05-2019 AL 31-05-2019 - LINEA G HONORARIOS ART. 235</t>
  </si>
  <si>
    <t>PAGO 5  DE HONORARIOS DEL  CONTRATO 079  DE 2019 - DEL 01-06-2019 AL 30-06-2019</t>
  </si>
  <si>
    <t>PAGO 6  DE HONORARIOS DEL  CONTRATO 079  DE 2019 - Del mes de julio de 2019</t>
  </si>
  <si>
    <t>PAGO 7  DE HONORARIOS DEL  CONTRATO 079  DE 2019 - DEL MES DE AGOSTO DE 2019</t>
  </si>
  <si>
    <t>PAGO 8  DE HONORARIOS DEL  CONTRATO 079  DE 2019 - DEL MES DE OCTUBRE DE 2019</t>
  </si>
  <si>
    <t>PAGO 9  DE HONORARIOS DEL  CONTRATO 079  DE 2019 - DEL MES DE SEPTIEMBRE DE 2019</t>
  </si>
  <si>
    <t>PAGO 10  DE HONORARIOS DEL  CONTRATO 079  DE 2019 - DEL MES DE NOVIEMBRE DE 2019</t>
  </si>
  <si>
    <t>PAGO 11  DE HONORARIOS DEL  CONTRATO 079  DE 2019 - DEL MES DE DICIEMBRE DE 2019</t>
  </si>
  <si>
    <t>CONTRATO 134/2019 BIBIANA  TANGARIFE</t>
  </si>
  <si>
    <t>AUTORIZACION DE PAGO 1 DEL  CONTRATO 134  DE 2019 - DEL 01-03-2019 AL 31-03-2019 - LINEA E.  HONORARIO ART No.235</t>
  </si>
  <si>
    <t>AUTORIZACION DE PAGO 2 DEL  CONTRATO 134  DE 2019 - DEL 01-04-2019 AL 30-04-2019 - LINEA E.  HONORARIO ART No.235</t>
  </si>
  <si>
    <t>AUTORIZACION DE PAGO 3 DEL  CONTRATO 134  DE 2019 - DEL 01-05-2019 AL 31-05-2019 - LINEA E.  HONORARIO ART No.235</t>
  </si>
  <si>
    <t>AUTORIZACION DE PAGO 4 DEL  CONTRATO 134  DE 2019 - DEL 01-06-2019 AL 30-06-2019 - LINEA E.  HONORARIO ART No.235</t>
  </si>
  <si>
    <t>AUTORIZACION DE PAGO 5 DEL  CONTRATO 134  DE 2019 - DEL 01-07-2019 AL 31/07-2019 - LINEA E.  HONORARIO ART No.235</t>
  </si>
  <si>
    <t>AUTORIZACION DE PAGO 6 DEL  CONTRATO 134  DE 2019 - DEL 01-08-2019 AL 31/08-2019 - LINEA E.  HONORARIO ART No.235</t>
  </si>
  <si>
    <t>PAGO 7  DE HONORARIOS DEL  CONTRATO 134  DE 2019 - DEL 01-09-2019 AL 30-09-2019</t>
  </si>
  <si>
    <t>PAGO 8  DE HONORARIOS DEL  CONTRATO 134  DE 2019 - DEL 01-10-2019 AL 31-10-2019</t>
  </si>
  <si>
    <t>PAGO 9  DE HONORARIOS DEL  CONTRATO 134  DE 2019 - DEL MES DE NOVIEMBRE DE 2019</t>
  </si>
  <si>
    <t>AUTORIZACION DE PAGO 10 DEL CONTRATO 134  DE 2019 - DEL  NOVIEMBRE  DE 2019 LINEA E- HONORARIOS ART. 424</t>
  </si>
  <si>
    <t>CONTRATO 161/2019 LUIS ROBERTO CRUZ GONZALEZ</t>
  </si>
  <si>
    <t>AUTORIZACION DE PAGO 1  DEL CONTRATO 161  DE 2019 - DEL  20/03/2019 AL 31/03/2019. OBJETO G - HONORARIOS ART. 235</t>
  </si>
  <si>
    <t>AUTORIZACION DE PAGO 2  DEL CONTRATO 161  DE 2019 - DEL  01/04/2019 AL 30/04/2019. OBJETO G - HONORARIOS ART. 235</t>
  </si>
  <si>
    <t>AUTORIZACION DE PAGO 3  DEL CONTRATO 161  DE 2019 - DEL  01/05/2019 AL 31/05/2019. OBJETO G - HONORARIOS ART. 235</t>
  </si>
  <si>
    <t>AUTORIZACION DE PAGO 4  DEL CONTRATO 161  DE 2019 - DEL  01/06/2019 AL 30/06/2019. OBJETO G - HONORARIOS ART. 235</t>
  </si>
  <si>
    <t>AUTORIZACION DE PAGO 1 DESPLAZAMIENTOS CONTRATO 161  DE 2019 - DEL  01/06/2019 AL 30/06/2019. OBJETO G - HONORARIOS ART. 235</t>
  </si>
  <si>
    <t>AUTORIZACION DE PAGO 5  DEL CONTRATO 161  DE 2019 - DEL  01/07/2019 AL 31/07/2019. OBJETO G - HONORARIOS ART. 235</t>
  </si>
  <si>
    <t>AUTORIZACION DE PAGO 2 REEMBOLSO ART. 643 - HONORARIOS ART. 235 CONTRATO 161  DE 2019 - DEL  01/07/2019 AL 31/07/2019. OBJETO G</t>
  </si>
  <si>
    <t>PAGO No 6  DE HONORARIOS CONTRATO 161  DE 2019 - DEL 01 AL 31-08-2019</t>
  </si>
  <si>
    <t>PAGO No 3  DE HONORARIOS POR DESPLAZAMIENTO CONTRATO 161  DE 2019 - DEL 01 AL 31-03-2019</t>
  </si>
  <si>
    <t>PAGO 7  DE HONORARIOS DEL  CONTRATO161  DE 2019 - DEL 01-09-2019 AL 30-09-2019</t>
  </si>
  <si>
    <t>AUTORIZACION DE PAGO 4 DESPLAZAMIENTO : HONORARIOS POR $784,423 ART 424 Y GASTOS DE VIAJE POR  $545,950 ART. 141 CONTRATO 161  DE 2019 - DEL  01/09/2019 AL 30/09/2019. OBJETO G</t>
  </si>
  <si>
    <t>PAGO 8  DE HONORARIOS DEL  CONTRATO 161  DE 2019 - DEL MES DE OCTUBRE DE 2019  ART. 424</t>
  </si>
  <si>
    <t>AUTORIZACION DE PAGO 5 DESPLAZAMIENTOS: GASTOS DE VIAJE (HONORARIOS) ART 424 POR $784,423  Y REEMBOLSO  ART -141 POR  $675,030  CONTRATO 161 DE 2019 -  DEL MES DE  OCTUBRE DE 2019</t>
  </si>
  <si>
    <t>AUTORIZACION DE PAGO 09 CONTRATO 161  DE 2019 - NOVIEMBRE DE 2019 - LINEA G HONORARIOS ART. 424</t>
  </si>
  <si>
    <t>AUTORIZACION DE PAGO 6 DESPLAZAMIENTOS: GASTOS DE VIAJE (HONORARIOS) ART 424 POR $784,423  Y REEMBOLSO  ART -141 POR  $665,660  CONTRATO 161 DE 2019 -  DEL MES DE  NOVIEMBRE DE 2019</t>
  </si>
  <si>
    <t>AUTORIZACION DE PAGO 10 DEL CONTRATO 161  DE 2019 - DEL  DICIEMBRE  DE 2019 LINEA G- HONORARIOS ART. 424</t>
  </si>
  <si>
    <t>CONTRATO 208/2019 JULIO CESAR TREJOS GONZALEZ</t>
  </si>
  <si>
    <t>AUTORIZACION DE PAGO 01  CONTRATO 208  DE 2019 - DEL 01-04-2019 AL 17-04-2019 - FACT.   LINEA G.  HONORARIOS ART. 235</t>
  </si>
  <si>
    <t>AUTORIZACIÓN DE PAGO 2  DEL CONTRATO 208  DE 2019 - DEL  01/05/2019 AL 31/05/2019. OBJETO G - HONORARIOS ART. 235</t>
  </si>
  <si>
    <t>AUTORIZACION DE PAGO 3  DEL CONTRATO 208  DE 2019 - DEL  01/06/2019 AL 30/06/2019. OBJETO G - HONORARIOS ART. 235</t>
  </si>
  <si>
    <t>PAGO No 4  DE HONORARIOS CONTRATO 208 DE 2019 - DEL 01 AL 31-07-2019</t>
  </si>
  <si>
    <t>PAGO No 5 DE HONORARIOS CONTRATO 208  DE 2019 - DEL 01 AL 31-08-2019</t>
  </si>
  <si>
    <t>AUTORIZACION DE PAGO 6  DEL CONTRATO 208  DE 2019 - DEL  01/09/2019 AL 30/09/2019. OBJETO G - HONORARIOS ART. 424</t>
  </si>
  <si>
    <t>AUTORIZACION DE PAGO 7  DEL CONTRATO 208  DE 2019 - DEL  01/10/2019 AL 31/10/2019. OBJETO G - HONORARIOS ART. 424</t>
  </si>
  <si>
    <t>AUTORIZACION DE PAGO 8  DEL CONTRATO 208  DE 2019 - DEL MES DE NOVIEMBRE DE 2019. OBJETO G - HONORARIOS ART. 424</t>
  </si>
  <si>
    <t>AUTORIZACION DE PAGO 9  DEL CONTRATO 208  DE 2019 - DEL MES DE DICIEMBRE DE 2019. OBJETO G - HONORARIOS ART. 424</t>
  </si>
  <si>
    <t>CONTRATO 168/2019 JEIMMY MAGDALY ROJAS BENTACOURT</t>
  </si>
  <si>
    <t>AUTORIZACIÓN DE PAGO 1  DEL CONTRATO 168  DE 2019 - DEL  22/03/2019 AL 31/03/2019. OBJETO C - HONORARIOS ART. 235</t>
  </si>
  <si>
    <t>AUTORIZACION DE PAGO 2  DEL CONTRATO 168  DE 2019 - DEL  01-04-2019 AL 30-04-2019. OBJETO C - HONORARIOS ART. 235</t>
  </si>
  <si>
    <t>AUTORIZACION DE PAGO 3  DEL CONTRATO 168  DE 2019 - DEL  01-05-2019 AL 31-05-2019. OBJETO C - HONORARIOS ART. 235</t>
  </si>
  <si>
    <t>AUTORIZACION DE PAGO 4  DEL CONTRATO 168  DE 2019 - DEL  01-06-2019 AL 30-06-2019. OBJETO C - HONORARIOS ART. 235</t>
  </si>
  <si>
    <t>AUTORIZACION DE PAGO 5  DEL CONTRATO 168  DE 2019 - DEL  MES DE JULIO DE 2019. OBJETO C - HONORARIOS ART. 235</t>
  </si>
  <si>
    <t>PAGO 6  DE HONORARIOS DEL  CONTRATO 168  DE 2019 - DEL 01-08-2019 AL 31-08-2020</t>
  </si>
  <si>
    <t>PAGO 7  DE HONORARIOS DEL  CONTRATO 168  DE 2019 - MES DE SEPTIEMBRE 2019</t>
  </si>
  <si>
    <t>PAGO 8  DE HONORARIOS DEL  CONTRATO 168  DE 2019 - MES DE OCTUBRE  DE 2019</t>
  </si>
  <si>
    <t>PAGO 9  DE HONORARIOS DEL  CONTRATO 168  DE 2019 - MES DE NOVIEMBRE DE 2019</t>
  </si>
  <si>
    <t>PAGO 10  DE HONORARIOS DEL  CONTRATO 168  DE 2019 - MES DE DICIEMBRE DE 2019</t>
  </si>
  <si>
    <t>CONTRATO 194/2019 ORGANIZACION IBEROAMERICANA DE SEGURIDAD</t>
  </si>
  <si>
    <t>AUTORIZACIÓN DEL PAGO 1 DEL  40% DEL APORTE DEL FRL CONVENIO 194 DE  2019. LINEA A - HONORARIOS  ART 235</t>
  </si>
  <si>
    <t>AUTORIZACIÓN DEL PAGO 2 DEL  25% DEL APORTE DEL FRL CONVENIO 194  DE  2019 LINEA A - HONORARIOS  ART 235</t>
  </si>
  <si>
    <t>AUTORIZACIÓN DEL PAGO 3 DEL  25% DEL APORTE DEL FRL CONVENIO 194  DE  2019 LINEA A - HONORARIOS  ART 424</t>
  </si>
  <si>
    <t>AUTORIZACIÓN DEL PAGO 4 DEL  10% DEL APORTE DEL FRL CONVENIO 194  DE  2019 LINEA A - HONORARIOS  ART 141</t>
  </si>
  <si>
    <t xml:space="preserve">RESOLUCION 1446 COLPENSIONES </t>
  </si>
  <si>
    <t>CONTRATO 229/2019 YOLANDA  BELTRAN BARRERA</t>
  </si>
  <si>
    <t>AUTORIZACION DE PAGO 1  DEL CONTRATO 229  DE 2019 - DEL  06/05/2019 AL 31/05/2019. OBJETO C - HONORARIOS ART. 235</t>
  </si>
  <si>
    <t>AUTORIZACION DE PAGO 1 DESPLAZAMIENTO  DEL CONTRATO 229  DE 2019 - DEL   DEL 01-06-2019 AL 30-06-2019. OBJETO C - HONORARIOS ART. 235</t>
  </si>
  <si>
    <t>AUTORIZACION DE PAGO 2  DEL CONTRATO 229  DE 2019 -  DEL 01-06-2019 AL 30-06-2019. OBJETO C - HONORARIOS ART. 235</t>
  </si>
  <si>
    <t>AUTORIZACION DE PAGO 3  DEL CONTRATO 229  DE 2019 -  DEL 01-07-2019 AL 31-07-2019. OBJETO C - HONORARIOS ART. 235</t>
  </si>
  <si>
    <t>AUTORIZACION DE PAGO 4  DEL CONTRATO 229  DE 2019 -  DEL 01-08-2019 AL 31-08-2019. OBJETO C - HONORARIOS ART. 235</t>
  </si>
  <si>
    <t>PAGO 5  DE HONORARIOS DEL  CONTRATO 229  DE 2019 - DEL 01-09-2019 AL 30-09-2019</t>
  </si>
  <si>
    <t>AUTORIZACION DE PAGO 2 DESPLAZAMIENTOS CONTRATO 229  DE 2019 - DEL  01/09/2019 AL 30/09/2019. OBJETO C-HONORARIOS POR VALOR DE $435,480 ART 424 Y REEMBOLSO POR VALOR DE 592,482 ART-141</t>
  </si>
  <si>
    <t>PAGO 6  DE HONORARIOS DEL  CONTRATO 229  DE 2019 - DEL 01-10-2019 AL 31-10-2019</t>
  </si>
  <si>
    <t>AUTORIZACION DE PAGO 3 DESPLAZAMIENTOS: GASTOS DE VIAJE (HONORARIOS) ART 424 POR $387,480  Y REEMBOLSO  ART -141 POR  $643.860  CONTRATO 229  DE 2019 -  DEL MES DE  OCTUBRE DE 2019</t>
  </si>
  <si>
    <t>PAGO 7  DE HONORARIOS DEL  CONTRATO 229  DE 2019 - DEL MES DE NOVIEMBRE DE 2019</t>
  </si>
  <si>
    <t>AUTORIZACION DE PAGO 4 DESPLAZAMIENTOS: GASTOS DE VIAJE (HONORARIOS) ART 424 POR $1.033.280  Y REEMBOLSO  ART -141 POR  $1.187.980 CONTRATO 229  DE 2019 -  DEL MES DE  NOVIEMBRE DE 2019</t>
  </si>
  <si>
    <t>AUTORIZACION DE PAGO 8 DEL CONTRATO 229  DE 2019 - DEL  DICIEMBRE  DE 2019 LINEA C- HONORARIOS ART. 424</t>
  </si>
  <si>
    <t>CONTRATO 218/2019 LINDA YANETH ORREGO GIL</t>
  </si>
  <si>
    <t>AUTORIZACION DE PAGO 01  CONTRATO 218  DE 2019 - DEL 29-04-2019 AL 30-04-2019 - OBJETO  C. HONORARIOS ART. 235</t>
  </si>
  <si>
    <t>AUTORIZACION DE PAGO 02  CONTRATO 218  DE 2019 - DEL 01-05-2019 AL 31-05-2019 - OBJETO  C. HONORARIOS ART. 235</t>
  </si>
  <si>
    <t>AUTORIZACION DE PAGO 03 CONTRATO 218  DE 2019 -  DEL 01-06-2019 AL 30-06-2019 - OBJETO  C. HONORARIOS ART. 235</t>
  </si>
  <si>
    <t>AUTORIZACION DE PAGO 04 CONTRATO 218  DE 2019 -  DEL 01-07-2019 AL 31-07-2019 - OBJETO  C. HONORARIOS ART. 235</t>
  </si>
  <si>
    <t>AUTORIZACION DE PAGO 05 CONTRATO 218  DE 2019 -  DEL MES DE AGOSTO-2019 - OBJETO  C. HONORARIOS ART. 235</t>
  </si>
  <si>
    <t>AUTORIZACION DE PAGO 06 CONTRATO 218  DE 2019 -  DEL MES DE SEPTIEMBRE-2019 - OBJETO  C. HONORARIOS ART. 424</t>
  </si>
  <si>
    <t>AUTORIZACION DE PAGO 07 CONTRATO 218  DE 2019 -  DEL MES DE OCTUBRE-2019 - OBJETO  C. HONORARIOS ART. 424</t>
  </si>
  <si>
    <t>AUTORIZACION DE PAGO 1 DESPLAZAMIENTOS: GASTOS DE VIAJE (HONORARIOS) ART 424 POR $552,480 Y REEMBOLSO  ART -141 POR  $303,280 CONTRATO 218  DE 2019 -  DEL MES DE  OCTUBRE DE 2019</t>
  </si>
  <si>
    <t>AUTORIZACION DE PAGO 08 CONTRATO 218  DE 2019 -  DEL MES DE NOVIEMBRE-2019 - OBJETO  C. HONORARIOS ART. 424</t>
  </si>
  <si>
    <t>AUTORIZACION DE PAGO 09 CONTRATO 218  DE 2019 -  DEL MES DE DICIEMBRE-2019 - OBJETO  C. HONORARIOS ART. 424</t>
  </si>
  <si>
    <t>AUTORIZACION DE PAGO 02 CONTRATO 218  DE 2019 - POR DESPLAZAMIENTO   DEL MES DE DICIEMBRE-2019 - OBJETO  C. HONORARIOS ART. 424</t>
  </si>
  <si>
    <t>CONTRATO 227/2019 ANGELA YOLIMA NOVOA MOLANO</t>
  </si>
  <si>
    <t>AUTORIZACION DE PAGO 01  CONTRATO 227  DE 2019 - DEL 03-05-2019 AL 31-05-2019 - OBJETO  C. HONORARIOS ART. 235</t>
  </si>
  <si>
    <t>AUTORIZACION DE PAGO 02  CONTRATO 227  DE 2019 -  DEL 01-06-2019 AL 30-06-2019 - OBJETO  C. HONORARIOS ART. 235</t>
  </si>
  <si>
    <t>AUTORIZACION DE PAGO 03  CONTRATO 227  DE 2019 -  DEL 01-07-2019 AL 31-07-2019 - OBJETO  C. HONORARIOS ART. 235</t>
  </si>
  <si>
    <t>AUTORIZACION DE PAGO 04  CONTRATO 227  DE 2019 -  DEL 01-08-2019 AL 31-08-2019 - OBJETO  C. HONORARIOS ART. 235</t>
  </si>
  <si>
    <t>AUTORIZACION DE PAGO 05 CONTRATO 227 DE 2019 - DEL 01-09-2019 AL 30-09-2019 - OBJETO C HONORARIOS ART.424</t>
  </si>
  <si>
    <t>AUTORIZACION DE PAGO 06 CONTRATO 227 DE 2019 - DEL MES DE OCTUBRE-2019 - OBJETO C HONORARIOS ART.424</t>
  </si>
  <si>
    <t>AUTORIZACION DE PAGO 07 CONTRATO 227 DE 2019 - DEL MES DE NOVIEMBRE-2019 - OBJETO C HONORARIOS ART.424</t>
  </si>
  <si>
    <t>AUTORIZACION DE PAGO 1 DESPLAZAMIENTOS: GASTOS DE VIAJE (HONORARIOS) ART 424 POR $447.480  Y REEMBOLSO  ART -141 POR  $356.970 CONTRATO 227  DE 2019 -  DEL MES DE  NOVIEMBRE DE 2019</t>
  </si>
  <si>
    <t>AUTORIZACION DE PAGO 08 CONTRATO 227 DE 2019 - DEL MES DE DICIEMBRE-2019 - OBJETO C HONORARIOS ART.424</t>
  </si>
  <si>
    <t>AUTORIZACION DE PAGO 2 DESPLAZAMIENTOS: DEL MES DE NOVIEMBRE DE 2019 OBJETO C HONORARIOS ART.424</t>
  </si>
  <si>
    <t>AUTORIZACION DE PAGO 3 DESPLAZAMIENTOS: DEL MES DE DICIEMBRE DE 2019 OBJETO C HONORARIOS ART.424</t>
  </si>
  <si>
    <t>CONTRATO 253/2019 JAIRO ALBERTO HUERTAS CONTRERAS</t>
  </si>
  <si>
    <t>AUTORIZACIÓN DE PAGO 01 CONTRATO 253 DE 2019 - DEL 27-05-2019 AL 31-05-2019 - OBJETO C HONORARIOS ART. 235</t>
  </si>
  <si>
    <t>AUTORIZACION DE PAGO 2 CONTRATO 253 DE 2019 - DEL 01/06-2019 AL 30/06/2019 - OBJETO C HONORARIOS ART. 235</t>
  </si>
  <si>
    <t>AUTORIZACION DE PAGO 3 CONTRATO 253 DE 2019 -DEL 01 AL 31 DE JULIO DE 2019 - OBJETO C HONORARIOS ART. 235</t>
  </si>
  <si>
    <t>AUTORIZACION DE PAGO 4 CONTRATO 253 DE 2019 -DEL 01 AL 31 DE AGOSTO DE 2019 - OBJETO C HONORARIOS ART. 235</t>
  </si>
  <si>
    <t>AUTORIZACION DE PAGO 5 CONTRATO 253 DE 2019 -DEL 01 AL 30 DE SEPTIEMBRE DE 2019 - OBJETO C HONORARIOS ART. 424. SE APLICA EMBARGO DEL VALOR DEL PAGO MENOS 1 SMMLV Y EL RESTANTE EN LA QUINTA PARTE SEGÚN OFICIO 47981 DE AGOSTO 8 DE 2019</t>
  </si>
  <si>
    <t>COMENTARIO 1 AUTORIZACION DE PAGO 6 CONTRATO 253 DE 2019 -DEL MES DE OCTUBRE DE 2019 - OBJETO C HONORARIOS ART. 424. SE APLICA EMBARGO DEL VALOR DEL PAGO MENOS 1 SMMLV Y EL RESTANTE EN LA QUINTA PARTE SEGÚN OFICIO 47981 DE AGOSTO 8 DE 2019.</t>
  </si>
  <si>
    <t>"COMENTARIO 1 AUTORIZACIÓN DE PAGO 7 CONTRATO 253 DE 2019 -DEL MES DE NOVIEMBRE DE 2019 - OBJETO C HONORARIOS ART. 424. SE APLICA EMBARGO DEL VALOR DEL PAGO MENOS 1 SMMLV Y EL RESTANTE EN LA QUINTA PARTE SEGÚN OFICIO 47981 DE AGOSTO 8 DE 2019.</t>
  </si>
  <si>
    <t>"COMENTARIO 1 AUTORIZACIÓN DE PAGO 8 CONTRATO 253 DE 2019 -DEL MES DE DICIEMBRE DE 2019 - OBJETO C HONORARIOS ART. 424. SE APLICA EMBARGO DEL VALOR DEL PAGO MENOS 1 SMMLV Y EL RESTANTE EN LA QUINTA PARTE SEGÚN OFICIO 47981 DE AGOSTO 8 DE 2019.</t>
  </si>
  <si>
    <t>CONTRATO 246/2019 JHON FREDY CASTILLO</t>
  </si>
  <si>
    <t>AUTORIZACIÓN DE PAGO 01 CONTRATO 246 DE 2019 - DEL 15-05-2019 AL 31-05-2019 - OBJETO C HONORARIOS ART. 235</t>
  </si>
  <si>
    <t>AUTORIZACION DE PAGO 02 CONTRATO 246 DE 2019 - DEL 01-06-2019 AL 30-06-2019 - OBJETO C HONORARIOS ART. 235</t>
  </si>
  <si>
    <t>AUTORIZACION DE PAGO 03 CONTRATO 246 DE 2019 - DEL 01-07-2019 AL 31-07-2019 - OBJETO C HONORARIOS ART. 235</t>
  </si>
  <si>
    <t>PAGO DE HONORARIOS CONTRATO 246 DE 2019 - PAGO 4° - DEL 01 AL 31-08-2019</t>
  </si>
  <si>
    <t>AUTORIZACION DE PAGO 05 CONTRATO 246 DE 2019 - DEL 01-09-2019 AL 30-09-2019 - OBJETO C HONORARIOS ART.424</t>
  </si>
  <si>
    <t>AUTORIZACION DE PAGO 06 CONTRATO 246 DE 2019 - DEL MES DE OCTUBRE DE 2019 - OBJETO C HONORARIOS ART.424</t>
  </si>
  <si>
    <t>AUTORIZACION DE PAGO 7 CONTRATO 246 DEL PERIODO NOVIEMBRE DE 2019 -LINEA C.  HONORARIOS-ART No.424</t>
  </si>
  <si>
    <t>AUTORIZACION DE PAGO 08 CONTRATO 246 DE 2019 - DEL MES DE DICIEMBRE DE 2019 - OBJETO C HONORARIOS ART.424</t>
  </si>
  <si>
    <t>CONTRATO 241/2019 VICTOR  ORLEY  PEREZ  MENDEZ</t>
  </si>
  <si>
    <t>AUTORIZACION DE PAGO 01 CONTRATO 241 DE 2019 - DEL 13-05-2019 AL 31-05-2019 - OBJETO C HONORARIOS ART. 235</t>
  </si>
  <si>
    <t>AUTORIZACIÓN DE PAGO 02 CONTRATO 241 DE 2019 - DEL 01-06-2019 AL 30-06-2019 - OBJETO C HONORARIOS ART. 235</t>
  </si>
  <si>
    <t>AUTORIZACION DE PAGO 03 CONTRATO 241 DE 2019 - DEL 01-07-2019 AL 31-07-2019 - OBJETO C HONORARIOS ART. 235</t>
  </si>
  <si>
    <t>AUTORIZACION DE PAGO 04 CONTRATO 241 DE 2019 - DEL MES DE AGOSTO-2019 - OBJETO C HONORARIOS ART. 235</t>
  </si>
  <si>
    <t>AUTORIZACION DE PAGO 05 CONTRATO 241 DE 2019 - DEL MES DE SEPTIEMBRE-2019 - OBJETO C HONORARIOS ART. 424</t>
  </si>
  <si>
    <t>AUTORIZACION DE PAGO 06 CONTRATO 241 DE 2019 - DEL MES DE OCTUBRE-2019 - OBJETO C HONORARIOS ART. 424</t>
  </si>
  <si>
    <t>AUTORIZACION DE PAGO 07 CONTRATO 241 DE 2019 - DEL MES DE NOVIEMBRE-2019 - OBJETO C HONORARIOS ART. 424</t>
  </si>
  <si>
    <t>AUTORIZACION DE PAGO 1 DESPLAZAMIENTOS: GASTOS DE VIAJE (HONORARIOS) ART 424 POR $525.265 Y REEMBOLSO  ART -141 POR  $260.070 CONTRATO 241  DE 2019 -  DEL MES DE  NOVIEMBRE DE 2019</t>
  </si>
  <si>
    <t>AUTORIZACION DE PAGO 08 CONTRATO 241 DE 2019 - DEL MES DE DICIEMBRE-2019 - OBJETO C HONORARIOS ART. 424</t>
  </si>
  <si>
    <t>CONTRATO 244/2019 RUTH CONSUELO SUAREZ TORRES</t>
  </si>
  <si>
    <t>AUTORIZACIÓN DE PAGO 01 CONTRATO 244 DE 2019 - DEL 14-05-2019 AL 31-05-2019 - OBJETO C HONORARIOS ART. 235</t>
  </si>
  <si>
    <t>AUTORIZACION DE PAGO 02 CONTRATO 244 DE 2019 -  DEL 01-06-2019 AL 30-06-2019 - OBJETO C HONORARIOS ART. 235</t>
  </si>
  <si>
    <t>AUTORIZACION DE PAGO 03 CONTRATO 244 DE 2019 -  DEL 01-07-2019 AL 31-07-2019 - OBJETO C HONORARIOS ART. 235</t>
  </si>
  <si>
    <t>AUTORIZACION DE PAGO 1 DESPLAZAMIENTO UNA PARTE PARA REEMBOLSO  ART 643 POR $ 451.080,00 Y GASTOS DE VIAJE POR - HONORARIOS  ART -235 POR $ 645,800 CONTRATO 244  DE 2019 -  DEL 01-07-2019 AL 31-07-2019 - LINEA C,</t>
  </si>
  <si>
    <t>AUTORIZACION DE PAGO 04 CONTRATO 244 DE 2019 -  DEL 01-08-2019 AL 31-08-2019 - OBJETO C HONORARIOS ART. 235</t>
  </si>
  <si>
    <t>PAGO 5  DE HONORARIOS DEL  CONTRATO 244  DE 2019 - DEL 01-09-2019 AL 30-09-2019</t>
  </si>
  <si>
    <t>AUTORIZACION DE PAGO 2 DESPLAZAMIENTO UNA PARTE PARA REEMBOLSO  ART 141 POR $353.030,00 Y GASTOS DE VIAJE POR - HONORARIOS  ART -424 POR $701,800 CONTRATO 244  DE 2019 -  DEL 01-09-2019 AL 30-09-2019 - LINEA C,</t>
  </si>
  <si>
    <t>AUTORIZACION DE PAGO 3 DESPLAZAMIENTOS: GASTOS DE VIAJE (HONORARIOS) ART 424 POR $810.800  Y REEMBOLSO  ART -141 POR  $329.220  CONTRATO 244  DE 2019 -  DEL MES DE  OCTUBRE DE 2019</t>
  </si>
  <si>
    <t>PAGO 6  DE HONORARIOS DEL  CONTRATO 244  DE 2019 - MES DE OCTUBRE  DE 2019</t>
  </si>
  <si>
    <t>AUTORIZACION DE PAGO  7 DEL CONTRATO 244  DE 2019 - DEL MES DE NOVIEMBRE DE 2019 LINEA C- HONORARIOS ART. 424</t>
  </si>
  <si>
    <t>AUTORIZACION DE PAGO 8 DEL CONTRATO 244  DE 2019 - DEL  DICIEMBRE  DE 2019 LINEA C- HONORARIOS ART. 424</t>
  </si>
  <si>
    <t>AUTORIZACION DE PAGO  4 DEZPLAZAMIENTOS DEL CONTRATO 244  DE 2019 - DEL  NOVIEMBRE   DE 2019 LINEA C- HONORARIOS -ART. 424</t>
  </si>
  <si>
    <t>AUTORIZACION DE PAGO 5 DESPLAZAMIENTOS: GASTOS DE VIAJE (HONORARIOS) ART 424 POR $645.800 Y REEMBOLSO  ART -141 POR  $663.960  CONTRATO 244  DE 2019 -  DEL MES DE  OCTUBRE DE 2019</t>
  </si>
  <si>
    <t>CONTRATO 245/2019 OLGA BEATRIZ LATORRE BOTERO</t>
  </si>
  <si>
    <t>AUTORIZACIÓN DE PAGO 01 CONTRATO 245 DE 2019 - DEL 14-05-2019 AL 31-05-2019 - OBJETO C HONORARIOS ART. 235</t>
  </si>
  <si>
    <t>AUTORIZACION DE PAGO 02 CONTRATO 245 DE 2019 - DEL 01-06-2019 AL 30-06-2019 - OBJETO C HONORARIOS ART. 235</t>
  </si>
  <si>
    <t>AUTORIZACIÓN DE PAGO 03 CONTRATO 245 DE 2019 - DEL 01-07-2019 AL 31-07-2019 - OBJETO C HONORARIOS ART. 235</t>
  </si>
  <si>
    <t>AUTORIZACION DE PAGO 04 CONTRATO 245 DE 2019 - DEL MES DE AGOSTO-2019 - OBJETO C HONORARIOS ART. 235</t>
  </si>
  <si>
    <t>PAGO 5  DE HONORARIOS DEL  CONTRATO 245 DE 2019 - DEL 01-09-2019 AL 30-09-2019</t>
  </si>
  <si>
    <t>PAGO 6  DE HONORARIOS DEL  CONTRATO 245 DE 2019 - MES DE OCTUBRE DE 2019</t>
  </si>
  <si>
    <t>PAGO 7  DE HONORARIOS DEL  CONTRATO 245 DE 2019 - MES DE NOVIEMBRE DE 2019</t>
  </si>
  <si>
    <t>PAGO 8  DE HONORARIOS DEL  CONTRATO 245 DE 2019 - MES DE DICIEMBRE DE 2019</t>
  </si>
  <si>
    <t>CONTRATO 256/2019 HELENA  PEÑA URREGO</t>
  </si>
  <si>
    <t>AUTORIZACION DE PAGO 01  CONTRATO 256  DE 2019 - DEL 24-05-2019 AL 31-05-2019 - LINEA A.  HONORARIOS ART. 235</t>
  </si>
  <si>
    <t>AUTORIZACIÓN DE PAGO 02  CONTRATO 256  DE 2019 - DEL 01-06-2019 AL 30-06-2019 - LINEA A.  HONORARIOS ART. 235</t>
  </si>
  <si>
    <t>AUTORIZACION DE PAGO 03  CONTRATO 256  DE 2019 - DEL 01-07-2019 AL 31-07-2019 - LINEA H.  HONORARIOS ART. 235</t>
  </si>
  <si>
    <t>AUTORIZACION DE PAGO 04  CONTRATO 256  DE 2019 - DEL 01-07-2019 AL 31-07-2019 - LINEA H.  HONORARIOS ART. 235</t>
  </si>
  <si>
    <t>AUTORIZACION DE PAGO 05  CONTRATO 256  DE 2019 - DEL 01-09-2019 AL 30-09-2019 - LINEA H.  HONORARIOS ART. 424</t>
  </si>
  <si>
    <t>AUTORIZACION DE PAGO 06  CONTRATO 256  DE 2019 - DEL 01-10-2019 AL 31-10-2019 - LINEA H.  HONORARIOS ART. 424</t>
  </si>
  <si>
    <t>AUTORIZACION DE PAGO 07  CONTRATO 256  DE 2019 - DEL  MES DE NOVIEMBRE DE 2019 - LINEA H.  HONORARIOS ART. 424</t>
  </si>
  <si>
    <t>AUTORIZACION DE PAGO 08  CONTRATO 256  DE 2019 - DEL  MES DE DICIEMBRE DE 2019 - LINEA H.  HONORARIOS ART. 424</t>
  </si>
  <si>
    <t>CONTRATO 265/2019 MARIA EDITH FINDLAY SOTO</t>
  </si>
  <si>
    <t>AUTORIZACION DE PAGO 01  CONTRATO 265  DE 2019 - DEL 30-05-2019 AL 31-05-2019 - LINEA A.  HONORARIOS ART. 235</t>
  </si>
  <si>
    <t>AUTORIZACION DE PAGO 02  CONTRATO 265  DE 2019 - DEL 01-06-2019 AL 30-06-2019 - LINEA H.  HONORARIOS ART. 235</t>
  </si>
  <si>
    <t>AUTORIZACION DE PAGO 1 DESPLAZAMIENTO  CONTRATO 265  DE 2019 -  DEL 01-06-2019 AL 30-06-2019 - LINEA H.  HONORARIOS ART. 235</t>
  </si>
  <si>
    <t>AUTORIZACION DE PAGO 03  CONTRATO 265  DE 2019 - DEL 01-07-2019 AL 31-07-2019 - LINEA H.  HONORARIOS ART. 235</t>
  </si>
  <si>
    <t>AUTORIZACION DE PAGO 2 UNA PARTE PARA  REEMBOLSO  ART 643 POR   $ 1.605.060  Y OTRA PARTE -HONORARIOS  ART -235 POR  $1.234.330  CONTRATO 265  DE 2019 -  DEL 01-07-2019 AL 31-07-2019 - LINEA H.</t>
  </si>
  <si>
    <t>AUTORIZACION DE PAGO 04  CONTRATO 265  DE 2019 - DEL 01-08-2019 AL 31-08-2019 - LINEA H.  HONORARIOS ART. 235</t>
  </si>
  <si>
    <t>AUTORIZACION DE PAGO 3 DESPLAZAMIENTOS Y VIATICOS UNA PARTE PARA  REEMBOLSO  ART 643 POR   $ 1.576.170  Y OTRA PARTE -HONORARIOS  ART -235 POR  $1.816.495  CONTRATO 265  DE 2019 -  DEL 01-08-2019 AL 31-08-2019 - LINEA H.</t>
  </si>
  <si>
    <t>AUTORIZACION DE PAGO 05  CONTRATO 265  DE 2019 - DEL 01-09-2019 AL 30-09-2019 - LINEA H.  HONORARIOS ART. 424</t>
  </si>
  <si>
    <t>AUTORIZACION DE PAGO DESPLAZAMIENTOS: HONORARIOS ART 424 POR $1,639,962  Y GASTOS DE VIAJE  ART -141 POR  $1.017.390  CONTRATO 265  DE 2019 -  DEL 01-09-2019 AL 30-09-2019</t>
  </si>
  <si>
    <t>AUTORIZACION DE PAGO 06  CONTRATO 265  DE 2019 - DEL 01-10-2019 AL 31-10-2019 - LINEA H.  HONORARIOS ART. 424</t>
  </si>
  <si>
    <t>AUTORIZACION DE PAGO 5 DESPLAZAMIENTOS: HONORARIOS ART 424 POR $ 1.272.330  Y GASTOS DE VIAJE  ART -141 POR  $1.381.020  CONTRATO 265  DE 2019 -  DEL MES DE  OCTUBRE DE 2019</t>
  </si>
  <si>
    <t>AUTORIZACION DE PAGO 07  CONTRATO 265  DE 2019 - DEL MES DE NOVIEMBRE DE 2019 - LINEA H.  HONORARIOS ART. 424</t>
  </si>
  <si>
    <t>AUTORIZACION DE PAGO 6 DESPLAZAMIENTOS: GASTOS DE VIAJE (HONORARIOS) ART 424 POR $ 2.378.660  Y REEMBOLSO  ART -141 POR  $1.865.580 Y TRANSPORTES POR $ 29,000. CONTRATO 265  DE 2019 -  DEL MES DE NOVIEMBRE DE 2019</t>
  </si>
  <si>
    <t>AUTORIZACION DE PAGO 7 DESPLAZAMIENTOS: GASTOS DE VIAJE (HONORARIOS) ART 424 POR $ 572.165  Y REEMBOLSO  ART -141 POR  $629,100 CONTRATO 265  DE 2019 -  DEL MES DE DICIEMBRE DE 2019</t>
  </si>
  <si>
    <t>AUTORIZACION DE PAGO 08  CONTRATO 265  DE 2019 - DEL MES DE  DICIEMBRE DE 2019 - LINEA H.  HONORARIOS ART. 424</t>
  </si>
  <si>
    <t>CONTRATO 283/2019 LILIA JOHANNA GIRALDO</t>
  </si>
  <si>
    <t>AUTORIZACION DE PAGO 01 CONTRATO 283 DE 2019 - DEL 11-06-2019 AL 30-06-2019 - OBJETO C HONORARIOS ART. 235</t>
  </si>
  <si>
    <t>AUTORIZACION DE PAGO 02 CONTRATO 283 DE 2019 - DEL 01-07-2019 AL 31-07-2019 - OBJETO C HONORARIOS ART. 235</t>
  </si>
  <si>
    <t>AUTORIZACION DE PAGO 01 CONTRATO 283 DE 2019- DESPLAZAMIENTO DEL 01-07-2019 AL 31-07-2019 - OBJETO C HONORARIOS ART. 235 POR $498.265 Y REEMBOLSO ART- 643 POR $705.050</t>
  </si>
  <si>
    <t>AUTORIZACION DE PAGO 03 CONTRATO 283 DE 2019 - DEL 01-08-2019 AL 31-08-2019 - OBJETO C HONORARIOS ART. 235</t>
  </si>
  <si>
    <t>PAGO 4  DE HONORARIOS DEL  CONTRATO 283 DE 2019 - DEL 01-09-2019 AL 30-09-2019</t>
  </si>
  <si>
    <t>AUTORIZACION DE PAGO 02 CONTRATO 283 DE 2019- DESPLAZAMIENTO DEL 01-09-2019 AL 30-09-2019 - OBJETO C HONORARIOS ART. 424 POR $498.265 Y REEMBOLSO ART- 141 POR $690.500</t>
  </si>
  <si>
    <t>PAGO 5  DE HONORARIOS DEL  CONTRATO 283 DE 2019 - DEL MES DE OCTUBRE DE 2019 ART. 424</t>
  </si>
  <si>
    <t>AUTORIZACION DE PAGO 3 DESPLAZAMIENTOS: GASTOS DE VIAJE (HONORARIOS) ART 424 POR $498.265  Y REEMBOLSO  ART -141 POR  $557.220  CONTRATO 283  DE 2019 -  DEL MES DE  OCTUBRE DE 2019</t>
  </si>
  <si>
    <t>AUTORIZACION DE PAGO 6 CONTRATO 283  DE 2019 -DEL MES DE NOVIEMBRE  DE 2019.  - OBJETO C.  HONORARIOS ART. 424</t>
  </si>
  <si>
    <t>PAGO 7  DE HONORARIOS DEL  CONTRATO 283 DE 2019 - DEL MES DICIEMBRE DE 2019 ART. 424</t>
  </si>
  <si>
    <t>CONTRATO 254/2019 ORGANIZACION IBEROAMERICANA DE SEGURIDAD</t>
  </si>
  <si>
    <t>AUTORIZACIÓN DEL PAGO 1 DEL  20% DEL APORTE DEL FRL CONVENIO 254 DE  2018. LINEA A - HONORARIOS  ART 235</t>
  </si>
  <si>
    <t>AUTORIZACIÓN DEL PAGO 2 DEL  25% DEL APORTE DEL FRL CONVENIO 254  DE  2019 LINEA A - HONORARIOS  ART 424</t>
  </si>
  <si>
    <t>AUTORIZACIÓN DEL PAGO 3 DEL  25% DEL APORTE DEL FRL CONVENIO 254  DE  2019 LINEA A - HONORARIOS  ART 141</t>
  </si>
  <si>
    <t>AUTORIZACIÓN DEL PAGO 4 DEL  30% DEL APORTE DEL FRL CONVENIO 254  DE  2019 LINEA A - HONORARIOS  ART 141</t>
  </si>
  <si>
    <t>CONTRATO 301/2019 ADRIANA PATRICIA AREVALO BELTRAN</t>
  </si>
  <si>
    <t>AUTORIZACIÓN DE PAGO 01 CONTRATO 301 DE 2019 - DEL 26-06-2019 AL 30-06-2019 - OBJETO C HONORARIOS ART. 235</t>
  </si>
  <si>
    <t>AUTORIZACION DE PAGO 02 CONTRATO 301 DE 2019 - DEL 01-07-2019 AL 31-07-2019 - OBJETO C HONORARIOS ART. 235</t>
  </si>
  <si>
    <t>AUTORIZACION DE PAGO 03 CONTRATO 301 DE 2019 - DEL 01-08-2019 AL 31-08-2019 - OBJETO C HONORARIOS ART. 235</t>
  </si>
  <si>
    <t>AUTORIZACION DE PAGO 04 CONTRATO 301 DE 2019 - DEL 01-09-2019 AL 30-09-2019 - OBJETO C HONORARIOS ART.424</t>
  </si>
  <si>
    <t>AUTORIZACION DE PAGO 05 CONTRATO 301 DE 2019 - DEL MES DE OCTUBRE-2019 - OBJETO C HONORARIOS ART.424</t>
  </si>
  <si>
    <t>AUTORIZACION DE PAGO 06 CONTRATO 301 DE 2019 - DEL MES DE NOVIEMBRE-2019 - OBJETO C HONORARIOS ART.424</t>
  </si>
  <si>
    <t>AUTORIZACION DE PAGO 07 CONTRATO 301 DE 2019 - DEL MES DE DICIEMBRE-2019 - OBJETO C HONORARIOS ART.424</t>
  </si>
  <si>
    <t>CONTRATO 346/2019 ALIX DEL PILAR SEPULVEDA CARRASCAL</t>
  </si>
  <si>
    <t>AUTORIZACION DE PAGO 1 CONTRATO 346 DE 2019 - DEL 19-07-2019 AL 31-07-2019 -LINEA H.  HONORARIOS-ART No.235</t>
  </si>
  <si>
    <t>AUTORIZACIÓN DE PAGO 2 CONTRATO 346 DE 2019 - DEL 01-08-2019 AL 31-08-2019 -LINEA H.  HONORARIOS-ART No.235</t>
  </si>
  <si>
    <t>AUTORIZACION DE PAGO 3 CONTRATO 346 DE 2019 - DEL 01-09-2019 AL 30-09-2019 -LINEA H.  HONORARIOS-ART No.424</t>
  </si>
  <si>
    <t>AUTORIZACION DE PAGO 4 CONTRATO 346 DE 2019 - DEL 01-10-2019 AL 31-10-2019 -LINEA H.  HONORARIOS-ART No.424</t>
  </si>
  <si>
    <t>AUTORIZACION DE PAGO 5 CONTRATO 346 DEL PERIODO NOVIEMBRE DE 2019 -LINEA H.  HONORARIOS-ART No.424</t>
  </si>
  <si>
    <t>AUTORIZACION DE PAGO 6 CONTRATO 346 DEL PERIODO DICIEMBRE DE 2019 -LINEA H.  HONORARIOS-ART No.424</t>
  </si>
  <si>
    <t>CONVENIO 343/2019 ORGANIZACION IBEROAMERICANA DE SEGURIDAD</t>
  </si>
  <si>
    <t>AUTORIZACIÓN DEL PAGO 1 DEL  30% DEL APORTE DEL FRL CONVENIO 343  DE  2019 LINEA B - HONORARIOS  ART 424</t>
  </si>
  <si>
    <t>AUTORIZACIÓN DEL PAGO 2 CONTRATO 343  PAGO SEGUNDO DESEMBOLSO 40% APORTES FRL  2019 LINEA B - HONORARIOS  ART 424</t>
  </si>
  <si>
    <t>AUTORIZACIÓN DEL PAGO 3 DEL  30% DEL APORTE DEL FRL CONVENIO 343  DE  2019 LINEA B - HONORARIOS  ART 141</t>
  </si>
  <si>
    <t>CONTRATO 426/2019 FLOR ALBA RONCANCIO GACHANCIPA</t>
  </si>
  <si>
    <t>PAGO 1  DE HONORARIOS DEL  CONTRATO 426  DE 2019 - DEL 01-10-2019 AL 31-10-2019</t>
  </si>
  <si>
    <t>PAGO 2  DE HONORARIOS DEL  CONTRATO 426  DE 2019 - DEL MES E NOVIEMBRE DE 2019</t>
  </si>
  <si>
    <t>PAGO 3 DE HONORARIOS DEL  CONTRATO 426  DE 2019 - DEL MES DE DICIEMBRE DE 2019</t>
  </si>
  <si>
    <t>CONVENIO 390/2019 ASOCIACION COLOMBIANA DE LAS MICRO, PEQUEÑAS Y MEDIANAS EMPRESAS-ACOPI ATLANTICO</t>
  </si>
  <si>
    <t>AUTORIZACION DE PAGO 1  DEL  CONVENIO   DE ASOCIACION 390  - LINEA  A .  HONORARIO PERIODO SEP-OCT 2019</t>
  </si>
  <si>
    <t>AUTORIZACION DE PAGO 2  DEL  CONVENIO DE ASOCIACION 390  - LINEA  A .  HONORARIO PERIODO OCT - NOV 2019</t>
  </si>
  <si>
    <t>AUTORIZACION DE PAGO 3  DEL  CONVENIO DE ASOCIACION 390  - LINEA  A .  HONORARIO - TERCER DESOMBOLSO 30% APORTES FRL</t>
  </si>
  <si>
    <t>CONVENIO 429/2019 ORGANIZACION IBEROAMERICANA DE SEGURIDAD</t>
  </si>
  <si>
    <t>AUTORIZACIÓN DEL PAGO 1 CONVENIO 429  DE  2019 LINEA A - HONORARIOS  ART 424</t>
  </si>
  <si>
    <t>AUTORIZACIÓN DEL PAGO 2 CONTRATO 429  PAGO SEGUNDO DESEMBOLSO APORTES FRL VIGENCIA 2019 LINEA A - HONORARIOS  ART 424</t>
  </si>
  <si>
    <t>DS AUTORIZACIÓN DEL PAGO 3  DEL  CONVENIO 429  DE  2019 OBJETO A - HONORARIOS ART 141</t>
  </si>
  <si>
    <t>DS AUTORIZACIÓN DEL PAGO 4  DEL  CONVENIO 429  DE  2019 OBJETO A - HONORARIOS ART 141</t>
  </si>
  <si>
    <t>CONTRATO 369/2019 CONSORCIO PEZETA BERMUDEZ MT</t>
  </si>
  <si>
    <t>AUTORIZACION DE PAGO 01 CONTRATO 369  DE 2019 -DEL 07-10-2019 AL 06-11-2019.  - LINEA A. HONORARIOS ART. 424</t>
  </si>
  <si>
    <t>AUTORIZACION DE PAGO 02 CONTRATO 369  DE 2019 -DEL MES DE NOVIEMBRE-2019.  - LINEA A. HONORARIOS ART. 424</t>
  </si>
  <si>
    <t>AUTORIZACION DE PAGO  3 HONORARIOS DEL CONTRATO 369  DE 2019 - DEL  07 AL 31 DE DICIEMBRE DE 2019 LINEA A- HONORARIOS -ART. 424</t>
  </si>
  <si>
    <t>461/2019</t>
  </si>
  <si>
    <t>CARTA ACUERDO 461 DE 2019 ORGANIZACION INTERNACIONAL DEL TRABAJO</t>
  </si>
  <si>
    <t>LEGALIZACION DIVISAS - PAGO 1  DE HONORARIOS DE ACUERDO A CARTA ACUERDO 461 DE 2019 - 30% APORTES FRL - VIGENCIA 2019</t>
  </si>
  <si>
    <t>LEGALIZACION DIVISAS - PAGO 2 DE HONORARIOS DE ACUERDO A CARTA ACUERDO 461 DE 2019 - 40% APORTES FRL - VIGENCIA 2019 ART 141 ANUAR EZFUERZO</t>
  </si>
  <si>
    <t>DEVOLUCION DE RETENCIONES POR ERROR DE LIQUIDACION DEL PAGO 1 DE HONORARIOS DE ACUERDO AL CONTRATO 461 DE 2019 -30% APORTES FRL -ARTICULOS 416 DEVOLUCION DE RECURSOS.</t>
  </si>
  <si>
    <t>DS -LEGALIZACION DIVISAS - PAGO 1 DE HONORARIOS CARTA ACUERDO 461 DE 2020 - 20% APORTES FRL - VIGENCIA 2020 ART 141 ANUAR EZFUERZO</t>
  </si>
  <si>
    <t>CONTRATO 463/2019 CONSEJO COLOMBIANO DE SEGURIDAD</t>
  </si>
  <si>
    <t>AUTORIZACION DE PAGO  1 DEL CONTRATO 463  DE 2019 - PRIMER DESEMBOLSO 30%  DE 2019 LINEA C- HONORARIOS ART. 424</t>
  </si>
  <si>
    <t>AUTORIZACION DE PAGO  2 DEL CONTRATO 463  DE 2019 - SEGUNDO  DESEMBOLSO 30%  DE 2019 LINEA C- HONORARIOS ART. 424</t>
  </si>
  <si>
    <t>AUTORIZACION DE PAGO  3  DEL CONTRATO 463  DE 2019 - TERCER DESEMBOLSO 30%  DE 2019 LINEA C- HONORARIOS ART. 424</t>
  </si>
  <si>
    <t>AUTORIZACION DE PAGO 4 DEL CONTRATO 463  DE 2019 - CUARTO DESEMBOLSO 10%  DE 2019 LINEA C- HONORARIOS ART. 424</t>
  </si>
  <si>
    <t>CONTRATO 379/2019 UNIVERSIDAD NACIONAL DE COLOMBIA</t>
  </si>
  <si>
    <t>AUTORIZACION DE PAGO  1 DEL CONTRATO 379  DE 2019 - PRIMER DESEMBOLSO 40%  DE 2019 LINEA A- HONORARIOS ART. 424</t>
  </si>
  <si>
    <t>AUTORIZACION DE PAGO  2 DEL CONTRATO 379  DE 2019 - DESEMBOLSO 40%  DE 2019 LINEA A- HONORARIOS ART. 424</t>
  </si>
  <si>
    <t>AUTORIZACION DE PAGO  3 DEL CONTRATO 379  DE 2019 - DESEMBOLSO 20%  DE 2019 LINEA A- HONORARIOS ART. 424</t>
  </si>
  <si>
    <t xml:space="preserve">CONTRATO 375/2019 FIDUCIARIA LA PREVISORA </t>
  </si>
  <si>
    <t>PAGO COMISION FIDUCIARIA MES DE SEPTIEMBRE DE 2019 FACTURA No. 2827 ID DEL TERCERO 0010342021 ARTICULO 117</t>
  </si>
  <si>
    <t>PAGO COMISION FIDUCIARIA MES DE OCTUBRE DE 2019 FACTURA 3071 ID DEL TERCERO 0010342021 ARTICULO 117</t>
  </si>
  <si>
    <t>PAGO COMISION FIDUCIARIA MES DE NOVIEMBRE DE 2019 FACTURA No. 3328 ID DEL TERCERO 0010342021 ARTICULO 117</t>
  </si>
  <si>
    <t>PAGO COMISION FIDUCIARIA MES DE DICIEMBRE DE 2019 FACTURA No. 10268 ID DEL TERCERO 0010342021 ARTICULO 117</t>
  </si>
  <si>
    <t>PAGO COMISION FIDUCIARIA MES DE ENERO DE 2020 FACTURA No. 10564 ID DEL TERCERO 0010342021 ARTICULO 117</t>
  </si>
  <si>
    <t>PAGO COMISION FIDUCIARIA MES DE FEBRERO DE 2020 FACTURA No. 10880 ID DEL TERCERO 0010342021 ARTICULO 117</t>
  </si>
  <si>
    <t>PAGO COMISION FIDUCIARIA MES DE MARZO DE 2020 FACTURA No. 11203 ID DEL TERCERO 0010342021 ARTICULO 117</t>
  </si>
  <si>
    <t>PAGO COMISION FIDUCIARIA MES DE ABRIL DE 2020 FACTURA No. 11551 ID DEL TERCERO 0010342021 ARTICULO 117</t>
  </si>
  <si>
    <t>PAGO COMISION FIDUCIARIA MES DE MAYO  DE 2020 FACTURA No.11847  ID DEL TERCERO 0010342021 ARTICULO 117</t>
  </si>
  <si>
    <t>PAGO COMISION FIDUCIARIA MES DE JUNIO DE 2020 FACTURA No.12248  ID DEL TERCERO 0010342021 ARTICULO 117</t>
  </si>
  <si>
    <t>PAGO COMISION FIDUCIARIA MES DE JULIO  DE 2020 FACTURA No.12560  ID DEL TERCERO 0010342021 ARTICULO 117</t>
  </si>
  <si>
    <t>PAGO COMISION FIDUCIARIA MES DE AGOSTO  DE 2020 FACTURA No.12784  ID DEL TERCERO 0010342021 ARTICULO 117</t>
  </si>
  <si>
    <t>PAGO COMISION FIDUCIARIA MES DE SEPTIEMBRE  DE 2020 FACTURA No.13255  ID DEL TERCERO 0010342021 ARTICULO 117</t>
  </si>
  <si>
    <t>PAGO COMISION FIDUCIARIA MES DE OCTUBRE DE 2020 FACTURA No.13518  ID DEL TERCERO 0010342021 ARTICULO 117</t>
  </si>
  <si>
    <t>PAGO COMISION FIDUCIARIA MES DE NOVIEMBRE  DE 2020 FACTURA No.13897 ID DEL TERCERO 0010342021 ARTICULO 117</t>
  </si>
  <si>
    <t>PAGO COMISION FIDUCIARIA MES DE DICIEMBRE  DE 2020 FACTURA No.14255 ID DEL TERCERO 0010342021 ARTICULO 117</t>
  </si>
  <si>
    <t>PAGO COMISION FIDUCIARIA MES DE ENERO DE 2021 FACTURA No.14489  ID DEL TERCERO 0010342021 ARTICULO 117</t>
  </si>
  <si>
    <t>PAGO COMISION FIDUCIARIA MES DE FEBRERO DE 2021 FACTURA No.14895 ID DEL TERCERO 0010342021 ARTICULO 117</t>
  </si>
  <si>
    <t>PAGO COMISION FIDUCIARIA MES DE MARZO DE 2021 FACTURA No.15275  ID DEL TERCERO 0010342021 ARTICULO 117</t>
  </si>
  <si>
    <t>PAGO COMISION FIDUCIARIA MES DE ABRIL DE 2021 FACTURA No.15552  ID DEL TERCERO 0010342021 ARTICULO 117</t>
  </si>
  <si>
    <t>PAGO COMISION FIDUCIARIA MES DE MAYO DE 2021 FACTURA No.15889  ID DEL TERCERO 0010342021 ARTICULO 117</t>
  </si>
  <si>
    <t>PAGO COMISION FIDUCIARIA MES DE JUNIO DE 2021 FACTURA No.16198 ID DEL TERCERO 0010342021 ARTICULO 409</t>
  </si>
  <si>
    <t>16509/99809/01 PAGO COMISION FIDUCIARIA MES DE JULIO DE 2021 FACTURA No.16509 ID DEL TERCERO 0010381571 ARTICULO 117</t>
  </si>
  <si>
    <t>CONTRATO 005/2020 LEONARDO  PLAZAS BETANCOURT</t>
  </si>
  <si>
    <t>PAGO 1  DE HONORARIOS DEL  CONTRATO 005  DE 2020 - DEL MES DE ENERO DE 2020</t>
  </si>
  <si>
    <t>AUTORIZACION DE PAGO 02 CONTRATO 005 DE 2020 - PERIODO DEL 03 DE FEBRERO AL 02 DE MARZO DE 2020 - OBJETO A HONORARIOS ART.424</t>
  </si>
  <si>
    <t>AUTORIZACION DE PAGO 3 CONTRATO 005  DEL PERIODO MARZO 2020 -LINEA H.  HONORARIOS-ART No.424</t>
  </si>
  <si>
    <t>AUTORIZACION DE PAGO 4 CONTRATO 005  DEL PERIODO ABRIL 2020 -LINEA H.  HONORARIOS-ART No.424</t>
  </si>
  <si>
    <t>AUTORIZACION DE PAGO 5 CONTRATO 005  DEL PERIODO DEL 02 DE MAYO  AL 03 DE JUNIO 2020 -LINEA H.  HONORARIOS-ART No.424</t>
  </si>
  <si>
    <t>AUTORIZACION DE PAGO 6 CONTRATO 005  DEL PERIODO DE JUNIO 2020 -LINEA H.  HONORARIOS-ART No.424</t>
  </si>
  <si>
    <t>CONTRATO 015/2020 FLOR ALBA RONCANCIO GACHANCIPA</t>
  </si>
  <si>
    <t>PAGO 1 DE HONORARIOS DEL  CONTRATO 015  DE 2020 - DEL MES DE ENERO  DE 2020</t>
  </si>
  <si>
    <t>AUTORIZACIÓN DE PAGO 2 DEL CONTRATO 015 DE 2020 - PERIODO DE FEBRERO DE 2020 - LINEA H - HONORARIOS ART. 424</t>
  </si>
  <si>
    <t>AUTORIZACION DE PAGO 3 CONTRATO 015  DEL PERIODO MARZO 2020 -LINEA H.  HONORARIOS-ART No.424</t>
  </si>
  <si>
    <t>AUTORIZACION DE PAGO 4 CONTRATO 015  DEL PERIODO ABRIL 2020 -LINEA H.  HONORARIOS-ART No.424</t>
  </si>
  <si>
    <t>AUTORIZACION DE PAGO 5 CONTRATO 015  DEL PERIODO DEL 01 AL 18 DE MAYO 2020 -LINEA H.  HONORARIOS-ART No.424</t>
  </si>
  <si>
    <t>CONTRATO 011/2020 SONIA CLARENA ORJUELA PARRA</t>
  </si>
  <si>
    <t>PAGO 1 DE HONORARIOS DEL  CONTRATO 011  DE 2020 - DEL MES DE ENERO  DE 2020</t>
  </si>
  <si>
    <t>AUTORIZACION DE PAGO 1 DESPLAZAMIENTOS: GASTOS DE VIAJE (HONORARIOS) ART 424 POR $825.378  Y REEMBOLSO  ART -141 POR  $347.094 CONTRATO 011 DE 2020 -  DEL MES DE  ENERO  DE 2020</t>
  </si>
  <si>
    <t>dezplazamiento</t>
  </si>
  <si>
    <t>PAGO 2 DE HONORARIOS DEL  CONTRATO 011  DE 2020 - PERIODO DEL 01 AL 24 DE FEBRERO DE 2020</t>
  </si>
  <si>
    <t>AUTORIZACION DE PAGO 2 DESPLAZAMIENTOS: GASTOS DE VIAJE (HONORARIOS) ART 424 POR $1375630 Y REEMBOLSO  ART -141 POR  $1767930,19 CONTRATO 011 DE 2020 -  DEL MES DE  FEBRERO DE 2020</t>
  </si>
  <si>
    <t>CONTRATO 084/2020 JHOANNA MARINA CELEDON OÑATE</t>
  </si>
  <si>
    <t>PAGO 1  DE HONORARIOS DEL  CONTRATO 084  DE 2020 - DEL MES DE ENERO DE 2020</t>
  </si>
  <si>
    <t>AUTORIZACIÓN DE PAGO 2 DEL CONTRATO 084 DE 2020 - PERIODO DE FEBRERO DE 2020 - LINEA A - HONORARIOS ART. 424</t>
  </si>
  <si>
    <t>AUTORIZACION DE PAGO 3 CONTRATO 084  DEL PERIODO MARZO 2020 -OBJETO A.  HONORARIOS-ART No.424</t>
  </si>
  <si>
    <t>AUTORIZACIÓN DE PAGO 4 DEL CONTRATO 084 DE 2020 - PERIODO DE ABRIL DE 2020 - LINEA A - HONORARIOS ART. 424</t>
  </si>
  <si>
    <t>AUTORIZACIÓN DE PAGO 5 DEL CONTRATO 084 DE 2020 - PERIODO DE MAYO DE 2020 - LINEA A - HONORARIOS ART. 424</t>
  </si>
  <si>
    <t>AUTORIZACIÓN DE PAGO 6 DEL CONTRATO 084 DE 2020 - PERIODO DE JUNIO DE 2020 - LINEA A - HONORARIOS ART. 424</t>
  </si>
  <si>
    <t>PAGO 7 DEL CONTRATO 084 DE 2020 - PERIODO DE JULIO DE 2020 - LINEA A - HONORARIOS ART. 424</t>
  </si>
  <si>
    <t>PAGO 8 DEL CONTRATO 084 DE 2020 - PERIODO DE AGOSTO DE 2020 - LINEA A - HONORARIOS ART. 424</t>
  </si>
  <si>
    <t>PAGO 9 DEL CONTRATO 084 DE 2020 - PERIODO DE SEPTIEMBRE DE 2020 - LINEA A - HONORARIOS ART. 424</t>
  </si>
  <si>
    <t>PAGO 10 DEL CONTRATO 084 DE 2020 - PERIODO DE OCTUBRE DE 2020 - LINEA A - HONORARIOS ART. 424</t>
  </si>
  <si>
    <t>DS PAGO 11 DEL CONTRATO 084 DE 2020 - PERIODO DE NOVIEMBRE DE 2020 - LINEA A - HONORARIOS ART. 424</t>
  </si>
  <si>
    <t>DS PAGO 12 DEL CONTRATO 084 DE 2020 - PERIODO DE DICIEMBRE DE 2020 - LINEA A - HONORARIOS ART. 424</t>
  </si>
  <si>
    <t>CONTRATO 085/2020 JOHANN MAURICIO LOPEZ MALAGON</t>
  </si>
  <si>
    <t>PAGO 1  DE HONORARIOS DEL  CONTRATO 085  DE 2020 - DEL MES DE ENERO DE 2020</t>
  </si>
  <si>
    <t>AUTORIZACION DE PAGO 02 CONTRATO 085 DE 2020 - PERIODO DEL 01 AL 29 DE FEBRERO  DE 2020 - OBJETO A HONORARIOS ART.424</t>
  </si>
  <si>
    <t>AUTORIZACION DE PAGO 3 CONTRATO 085  DEL PERIODO MARZO 2020 -OBJETO A.  HONORARIOS-ART No.424</t>
  </si>
  <si>
    <t>AUTORIZACION DE PAGO 4 CONTRATO 085  DEL PERIODO ABRIL 2020 -OBJETO A.  HONORARIOS-ART No.424</t>
  </si>
  <si>
    <t>AUTORIZACION DE PAGO 5 CONTRATO 085  DEL PERIODO MAYO 2020 -OBJETO A.  HONORARIOS-ART No.424</t>
  </si>
  <si>
    <t>AUTORIZACION DE PAGO 6 CONTRATO 085  DEL PERIODO JUNIO 2020 -OBJETO A.  HONORARIOS-ART No.424</t>
  </si>
  <si>
    <t>PAGO 7 CONTRATO 085  DEL PERIODO JULIO 2020 -OBJETO A.  HONORARIOS-ART No.424</t>
  </si>
  <si>
    <t>PAGO 8 CONTRATO 085  DEL PERIODO AGOSTO 2020 -OBJETO A.  HONORARIOS-ART No.424</t>
  </si>
  <si>
    <t>PAGO 9 CONTRATO 085  DEL PERIODO SEPTIEMBRE 2020 -OBJETO A.  HONORARIOS-ART No.424</t>
  </si>
  <si>
    <t>PAGO 10 CONTRATO 085  DEL PERIODO OCTUBRE 2020 -OBJETO A.  HONORARIOS-ART No.424</t>
  </si>
  <si>
    <t>DS PAGO 11 CONTRATO 085  DEL PERIODO NOVIEMBRE 2020 -OBJETO A.  HONORARIOS-ART No.424</t>
  </si>
  <si>
    <t>DS PAGO 12 CONTRATO 085 DEL PERIODO DICIEMBRE 2020 -OBJETO A.  HONORARIOS-ART No.424</t>
  </si>
  <si>
    <t>CONTRATO 033/2020 ALEJANDRO  OSORIO VILLADA</t>
  </si>
  <si>
    <t>PAGO 1  DE HONORARIOS DEL  CONTRATO 033  DE 2020 - DEL MES DE ENERO DE 2020</t>
  </si>
  <si>
    <t>PAGO 2  DE HONORARIOS DEL  CONTRATO 033  DE 2020 - PERIODO FEBRERO DE 2020 - ART 424 - LINEA A</t>
  </si>
  <si>
    <t>PAGO 3 DE HONORARIOS DEL CONTRATO 033  DE 2020 - PERIODO MARZO DE 2020 - ART 424 - LINEA A</t>
  </si>
  <si>
    <t>PAGO 4  DE HONORARIOS DEL CONTRATO 033  DE 2020 - PERIODO ABRIL DE 2020 - ART 424 - LINEA A</t>
  </si>
  <si>
    <t>PAGO 5  DE HONORARIOS DEL CONTRATO 033  DE 2020 - PERIODO MAYO DE 2020 - ART 424 - OBJETO A</t>
  </si>
  <si>
    <t>PAGO 6  DE HONORARIOS DEL CONTRATO 033  DE 2020 - PERIODO JUNIO DE 2020 - ART 424 - OBJETO A</t>
  </si>
  <si>
    <t>PAGO 7  DE HONORARIOS DEL CONTRATO 033  DE 2020 - PERIODO JULIO DE 2020 - ART 424 - OBJETO A</t>
  </si>
  <si>
    <t>CONTRATO 074/2020 DIEGO FERNANDO CASTELLANOS JARAMILLO</t>
  </si>
  <si>
    <t>PAGO 1  DE HONORARIOS DEL  CONTRATO 074 DE 2020 - DEL 20 AL 31 DEL MES DE ENERO DE 2020</t>
  </si>
  <si>
    <t>AUTORIZACIÓN DE PAGO 2 DEL CONTRATO 074 DE 2020 - PERIODO DE FEBRERO DE 2020 - LINEA C - HONORARIOS ART. 424</t>
  </si>
  <si>
    <t>AUTORIZACION DE PAGO 3 CONTRATO 074  DEL PERIODO MARZO 2020 -OBJETO C.  HONORARIOS-ART No.424</t>
  </si>
  <si>
    <t>AUTORIZACION DE PAGO 4 CONTRATO 074  DEL PERIODO ABRIL 2020 -OBJETO C.  HONORARIOS-ART No.424</t>
  </si>
  <si>
    <t>AUTORIZACION DE PAGO 5 CONTRATO 074  DEL PERIODO MAYO 2020 -OBJETO C.  HONORARIOS-ART No.424</t>
  </si>
  <si>
    <t>AUTORIZACION DE PAGO 6 CONTRATO 074  DEL PERIODO JUNIO  2020 -OBJETO C.  HONORARIOS-ART No.424</t>
  </si>
  <si>
    <t>AUTORIZACION DE PAGO 7 CONTRATO 074  DEL PERIODO JULIO  2020 -OBJETO C.  HONORARIOS-ART No.424</t>
  </si>
  <si>
    <t>AUTORIZACION DE PAGO 8 CONTRATO 074  DEL PERIODO AGOSTO  2020 -OBJETO C.  HONORARIOS-ART No.424</t>
  </si>
  <si>
    <t>AUTORIZACION DE PAGO 9 CONTRATO 074  DEL PERIODO SEPTIEMBRE  2020 -OBJETO C.  HONORARIOS-ART No.424</t>
  </si>
  <si>
    <t>AUTORIZACION DE PAGO 10 CONTRATO 074  DEL PERIODO OCTUBRE  2020 -OBJETO C.  HONORARIOS-ART No.424</t>
  </si>
  <si>
    <t>DS AUTORIZACION DE PAGO 11 CONTRATO 074  DEL PERIODO NOVIEMBRE  2020 -OBJETO C.  HONORARIOS-ART No.424</t>
  </si>
  <si>
    <t>DS AUTORIZACION DE PAGO 12 CONTRATO 074  DEL PERIODO DICIEMBRE  2020 -OBJETO C.  HONORARIOS-ART No.424</t>
  </si>
  <si>
    <t>CONTRATO 003/2020 HELENA  PEÑA URREGO</t>
  </si>
  <si>
    <t>PAGO 1  DE HONORARIOS DEL  CONTRATO 003  DE 2020 - DEL MES DE ENERO DE 2020</t>
  </si>
  <si>
    <t>AUTORIZACIÓN DE PAGO 2 DEL CONTRATO 003 DE 2020 - PERIODO DE FEBRERO DE 2020 - LINEA H - HONORARIOS ART. 424</t>
  </si>
  <si>
    <t>AUTORIZACION DE PAGO 3 CONTRATO 003  DEL PERIODO MARZO 2020 -LINEA H.  HONORARIOS-ART No.424</t>
  </si>
  <si>
    <t>AUTORIZACION DE PAGO 4 CONTRATO 003  DEL PERIODO ABRIL 2020 -OBJETO H.  HONORARIOS-ART No.424</t>
  </si>
  <si>
    <t>AUTORIZACION DE PAGO 5 CONTRATO 003  DEL PERIODO MAYO 2020 -OBJETO H.  HONORARIOS-ART No.424</t>
  </si>
  <si>
    <t>AUTORIZACION DE PAGO 6 CONTRATO 003  DEL PERIODO JUNIO 2020 -OBJETO H.  HONORARIOS-ART No.424</t>
  </si>
  <si>
    <t>PAGO 7 CONTRATO 003  DEL PERIODO JULIO 2020 -OBJETO H.  HONORARIOS-ART No.424</t>
  </si>
  <si>
    <t>PAGO 8 CONTRATO 003  DEL PERIODO AGOSTO 2020 -OBJETO H.  HONORARIOS-ART No.424</t>
  </si>
  <si>
    <t>PAGO 9 CONTRATO 003  DEL PERIODO  SEPTIEMBRE 2020 -OBJETO H.  HONORARIOS-ART No.424</t>
  </si>
  <si>
    <t>DS PAGO 10 CONTRATO 003 DEL 2020 PERIODO OCTUBRE  2020 -OBJETO H.  HONORARIOS-ART No.424</t>
  </si>
  <si>
    <t>DS PAGO 11 CONTRATO 003 DEL 2020 PERIODO NOVIEMBRE  2020 -OBJETO H.  HONORARIOS-ART No.424</t>
  </si>
  <si>
    <t>DS PAGO 12 CONTRATO 003 DEL 2020 PERIODO DICIEMBRE  2020 -OBJETO H.  HONORARIOS-ART No.424</t>
  </si>
  <si>
    <t>SALDO LIBERADO</t>
  </si>
  <si>
    <t>CONTRATO 010/2020 ALIX DEL PILAR SEPULVEDA CARRASCAL</t>
  </si>
  <si>
    <t>AUTORIZACION DE PAGO 1 CONTRATO 010 DEL PERIODO DEL 7 DE ENERO AL 31 DE ENERO DE 2020 -LINEA H.  HONORARIOS-ART No.424</t>
  </si>
  <si>
    <t>PAGO 2  DE HONORARIOS DEL  CONTRATO 010  DE 2020 - PERIODO DE FEBRERO DE 2020 - LINEA H</t>
  </si>
  <si>
    <t>AUTORIZACION DE PAGO 3 CONTRATO 010  DEL PERIODO MARZO 2020 -LINEA H.  HONORARIOS-ART No.424</t>
  </si>
  <si>
    <t>AUTORIZACION DE PAGO 4 CONTRATO 010  DEL PERIODO ABRIL 2020 -LINEA H.  HONORARIOS-ART No.424</t>
  </si>
  <si>
    <t>AUTORIZACION DE PAGO 5 CONTRATO 010  DEL PERIODO MAYO 2020 -OBJETO H.  HONORARIOS-ART No.424</t>
  </si>
  <si>
    <t>AUTORIZACION DE PAGO 6 CONTRATO 010  DEL PERIODO JUNIO 2020 -OBJETO H.  HONORARIOS-ART No.424</t>
  </si>
  <si>
    <t>PAGO 7 CONTRATO 010  DEL PERIODO JULIO 2020 -LINEA H.  HONORARIOS-ART No.424</t>
  </si>
  <si>
    <t>PAGO 8 CONTRATO 010  DEL PERIODO AGOSTO 2020 -LINEA H.  HONORARIOS-ART No.424</t>
  </si>
  <si>
    <t>PAGO 9 CONTRATO 010  DEL PERIODO SEPTIEMBRE 2020 -LINEA H.  HONORARIOS-ART No.424</t>
  </si>
  <si>
    <t>PAGO 10 CONTRATO 010  DEL PERIODO OCTUBRE 2020 -LINEA H.  HONORARIOS-ART No.424</t>
  </si>
  <si>
    <t>DS PAGO 11 CONTRATO 010 DEL PERIODO NOVIEMBRE 2020 -LINEA H.  HONORARIOS-ART No.424</t>
  </si>
  <si>
    <t>DS PAGO 10 CONTRATO 12  DEL PERIODO DICIEMBRE 2020 -LINEA H.  HONORARIOS-ART No.424</t>
  </si>
  <si>
    <t>CONTRATO 108/2020 RUTH CONSUELO SUAREZ TORRES</t>
  </si>
  <si>
    <t>AUTORIZACION DE PAGO 1 CONTRATO 0108 DEL PERIODO DEL 27 DE ENERO AL 31 DE ENERO DE 2020 -LINEA C.  HONORARIOS-ART No.424</t>
  </si>
  <si>
    <t>PAGO 2 DE HONORARIOS DEL  CONTRATO 108 DE 2020 - PERIODO 108 DE 2020 - ART 424 - LINEA C</t>
  </si>
  <si>
    <t>PAGO 3 DE HONORARIOS DEL CONTRATO 108 DE 2020 - PERIODO MARZO DE 2020 - ART 424 - LINEA C</t>
  </si>
  <si>
    <t>PAGO 4 DE HONORARIOS DEL CONTRATO 108 DE 2020 - PERIODO ABRIL DE 2020 - ART 424 - LINEA C</t>
  </si>
  <si>
    <t>PAGO 5 DE HONORARIOS DEL CONTRATO 108 DE 2020 - PERIODO MAYO DE 2020 - ART 424 - OBJETO C</t>
  </si>
  <si>
    <t>PAGO 6 DE HONORARIOS DEL CONTRATO 108 DE 2020 - PERIODO JUNIO DE 2020 - ART 424 - OBJETO C</t>
  </si>
  <si>
    <t>PAGO 7 DE HONORARIOS DEL CONTRATO 108 DE 2020 - PERIODO JULIO DE 2020 - ART 424 - OBJETO C</t>
  </si>
  <si>
    <t>PAGO 8 DE HONORARIOS DEL CONTRATO 108 DE 2020 - PERIODO AGOSTO DE 2020 - ART 424 - OBJETO C</t>
  </si>
  <si>
    <t>PAGO 9 DE HONORARIOS DEL CONTRATO 108 DE 2020 - PERIODO SEPTIEMBRE DE 2020 - ART 424 - OBJETO C</t>
  </si>
  <si>
    <t>DS PAGO 10 DE HONORARIOS DEL CONTRATO 108 DE 2020 - PERIODO OCTUBRE DE 2020 - ART 424 - OBJETO C</t>
  </si>
  <si>
    <t>DS PAGO 11 DE HONORARIOS DEL CONTRATO 108 DE 2020 - PERIODO NOVIEMBRE DE 2020 - ART 424 - OBJETO C</t>
  </si>
  <si>
    <t>DS PAGO 12 DE HONORARIOS DEL CONTRATO 108 DE 2020 - PERIODO DICIEMBRE DE 2020 - ART 424 - OBJETO C</t>
  </si>
  <si>
    <t>CONTRATO 070/2020 BIBIANA  TANGARIFE</t>
  </si>
  <si>
    <t>AUTORIZACION DE PAGO 1 CONTRATO 070 DEL PERIODO DEL 20 DE ENERO AL 31 DE ENERO DE 2020 -LINEA B.  HONORARIOS-ART No.424</t>
  </si>
  <si>
    <t>PAGO 2  DE HONORARIOS DEL  CONTRATO 070  DE 2020 - PERIODO FEBRERO DE 2020 - ART 424 - LINEA B</t>
  </si>
  <si>
    <t>AUTORIZACION DE PAGO 3 CONTRATO 070  DEL PERIODO MARZO 2020 -OBJETO B.  HONORARIOS-ART No.424</t>
  </si>
  <si>
    <t>AUTORIZACION DE PAGO 4 CONTRATO 070  DEL PERIODO ABRIL  2020 -OBJETO B.  HONORARIOS-ART No.424</t>
  </si>
  <si>
    <t>CONTRATO 004/2020 JULIAN DAVID PEÑA MARTINEZ</t>
  </si>
  <si>
    <t>AUTORIZACION DE PAGO  01 DEL CONTRATO 004  DE 2020 - ENERO DEL 2020 LINEA H- HONORARIOS ART. 424</t>
  </si>
  <si>
    <t>AUTORIZACIÓN DE PAGO 2 DEL CONTRATO 004 DE 2020 - PERIODO DE FEBRERO DE 2020 - LINEA H - HONORARIOS ART. 424</t>
  </si>
  <si>
    <t>AUTORIZACION DE PAGO 3 CONTRATO 004  DEL PERIODO MARZO 2020 -LINEA H.  HONORARIOS-ART No.424</t>
  </si>
  <si>
    <t>AUTORIZACION DE PAGO 4 CONTRATO 004  DEL PERIODO ABRIL 2020 -LINEA H.  HONORARIOS-ART No.424</t>
  </si>
  <si>
    <t>AUTORIZACIÓN DE PAGO 5 CONTRATO 004 DEL PERIODO MAYO 2020 -OBJETO H.  HONORARIOS-ART No.424</t>
  </si>
  <si>
    <t>AUTORIZACIÓN DE PAGO 6 CONTRATO 004 DEL PERIODO JUNIO 2020 -OBJETO H.  HONORARIOS-ART No.424</t>
  </si>
  <si>
    <t>PAGO 7 CONTRATO 004 DEL PERIODO JULIO 2020 -OBJETO H.  HONORARIOS-ART No.424</t>
  </si>
  <si>
    <t>PAGO 8 CONTRATO 004 DEL PERIODO AGOSTO 2020 -OBJETO H.  HONORARIOS-ART No.424</t>
  </si>
  <si>
    <t>PAGO 9 CONTRATO 004 DEL PERIODO SEPTIEMBRE  2020 -OBJETO H.  HONORARIOS-ART No.424</t>
  </si>
  <si>
    <t>DS PAGO 10CONTRATO 004 DEL PERIODO OCTUBRE  2020 -OBJETO H.  HONORARIOS-ART No.424</t>
  </si>
  <si>
    <t>DS PAGO 10 CONTRATO 004 DEL PERIODO NOVIEMBRE  2020 -OBJETO H.  HONORARIOS-ART No.424</t>
  </si>
  <si>
    <t>DS PAGO 12 CONTRATO 004 DEL PERIODO DICIEMBRE 2020 -OBJETO H. HONORARIOS-ART No.424</t>
  </si>
  <si>
    <t>CONTRATO 020/2020 JHON ALEXANDER JIMENEZ TRIVIÑO</t>
  </si>
  <si>
    <t>PAGO 01  DE HONORARIOS DEL  CONTRATO 020  DE 2020 - DEL MES DE ENERO DE 2020</t>
  </si>
  <si>
    <t>PAGO 2  DE HONORARIOS DEL  CONTRATO 020  DE 2020 - PERIODO DE FEBRERO DE 2020 - LINEA H</t>
  </si>
  <si>
    <t>AUTORIZACION DE PAGO 3 CONTRATO 020  DEL PERIODO MARZO 2020 -LINEA H.  HONORARIOS-ART No.424</t>
  </si>
  <si>
    <t>AUTORIZACION DE PAGO 4 CONTRATO 020  DEL PERIODO ABRIL 2020 -LINEA H.  HONORARIOS-ART No.424</t>
  </si>
  <si>
    <t>AUTORIZACION DE PAGO 5 CONTRATO 020  DEL PERIODO MAYO 2020 -OBJETO H.  HONORARIOS-ART No.424</t>
  </si>
  <si>
    <t>AUTORIZACION DE PAGO 6 CONTRATO 020  DEL PERIODO JUNIO 2020 -OBJETO H.  HONORARIOS-ART No.424</t>
  </si>
  <si>
    <t>AUTORIZACION DE PAGO 7 CONTRATO 020  DEL PERIODO JULIO 2020 -OBJETO H.  HONORARIOS-ART No.424</t>
  </si>
  <si>
    <t>AUTORIZACION DE PAGO 8 CONTRATO 020  DEL PERIODO AGOSTO 2020 -OBJETO H.  HONORARIOS-ART No.424</t>
  </si>
  <si>
    <t>AUTORIZACION DE PAGO 9 CONTRATO 020  DEL PERIODO SEPTIEMBRE 2020 -OBJETO H.  HONORARIOS-ART No.424</t>
  </si>
  <si>
    <t>AUTORIZACION DE PAGO 10 CONTRATO 020  DEL PERIODO CTUBRE 2020 -OBJETO H.  HONORARIOS-ART No.424</t>
  </si>
  <si>
    <t>DS  AUTORIZACION DE PAGO 11 CONTRATO 020  DEL PERIODO NNOVIEMBRE 2020 -OBJETO H.  HONORARIOS-ART No.424</t>
  </si>
  <si>
    <t>DS  AUTORIZACION DE PAGO 12 CONTRATO 020  DEL PERIODO DICIEMBRE 2020 -OBJETO H.  HONORARIOS-ART No.424</t>
  </si>
  <si>
    <t>CONTRATO 090/2020 MARIA EDITH FINDLAY SOTO</t>
  </si>
  <si>
    <t>AUTORIZACION DE PAGO 1 CONTRATO 090 DE 2020 DEL PERIODO DEL 23 DE ENERO AL 31 DE ENERO DE 2020 -LINEA H.  HONORARIOS-ART No.424</t>
  </si>
  <si>
    <t>AUTORIZACION DE PAGO 2 CONTRATO 090 DE 2020 CORRESPONDIENTE A FEBRERO DE 2020 -LINEA H.  HONORARIOS-ART No.424</t>
  </si>
  <si>
    <t>AUTORIZACIÓN DE PAGO 3  CONTRATO 090 DE 2020 - PERIODO DE MARZO 2020 - LINEA H.  HONORARIOS ART. 424</t>
  </si>
  <si>
    <t>AUTORIZACIÓN DE PAGO 4  CONTRATO 090 DE 2020 - PERIODO DE ABRIL 2020 - OBJETO H.  HONORARIOS ART. 424</t>
  </si>
  <si>
    <t>AUTORIZACIÓN DE PAGO 5  CONTRATO 090 DE 2020 - PERIODO DE MAYO 2020 - OBJETO H.  HONORARIOS ART. 424</t>
  </si>
  <si>
    <t>AUTORIZACIÓN DE PAGO 6  CONTRATO 090 DE 2020 - PERIODO DE JUNIO 2020 - OBJETO H.  HONORARIOS ART. 424</t>
  </si>
  <si>
    <t>PAGO 7 CONTRATO 090 DE 2020 - PERIODO DE JULIO 2020 - OBJETO H.  HONORARIOS ART. 424</t>
  </si>
  <si>
    <t>PAGO 8 CONTRATO 090 DE 2020 - PERIODO DE AGOSTO 2020 - OBJETO H.  HONORARIOS ART. 424</t>
  </si>
  <si>
    <t>PAGO 9 CONTRATO 090 DE 2020 - PERIODO DE SEPTIEMBRE  2020 - OBJETO H.  HONORARIOS ART. 424</t>
  </si>
  <si>
    <t>PAGO 10 CONTRATO 090 DE 2020 - PERIODO DE OCTUBRE  2020 - OBJETO H.  HONORARIOS ART. 424</t>
  </si>
  <si>
    <t>DS PAGO 11 CONTRATO 090 DE 2020 - PERIODO DE NOVIEMBRE  2020 - OBJETO H.  HONORARIOS ART. 424</t>
  </si>
  <si>
    <t>DS PAGO 12 CONTRATO 090 DE 2020 - PERIODO DE DICIEMBRE 2020 - OBJETO H.  HONORARIOS ART. 424</t>
  </si>
  <si>
    <t>CONTRATO 067/2020 SHARON SASTY STEFAN GONZALEZ ESCORCIA</t>
  </si>
  <si>
    <t>AUTORIZACION DE PAGO 1 CONTRATO 067 DEL PERIODO DEL 17 DE ENERO AL 31 DE ENERO DE 2020 -LINEA C.  HONORARIOS-ART No.424</t>
  </si>
  <si>
    <t>AUTORIZACIÓN DE PAGO 2 DEL CONTRATO 067 DE 2020 - PERIODO DE FEBRERO DE 2020 - LINEA C - HONORARIOS ART. 424</t>
  </si>
  <si>
    <t>AUTORIZACIÓN DE PAGO 3 DEL CONTRATO 067 DE 2020 - PERIODO DE MARZO DE 2020 - LINEA C - HONORARIOS ART. 424</t>
  </si>
  <si>
    <t>AUTORIZACIÓN DE PAGO 4 DEL CONTRATO 067 DE 2020 - PERIODO DE ABRIL DE 2020 - LINEA C - HONORARIOS ART. 424</t>
  </si>
  <si>
    <t>AUTORIZACIÓN DE PAGO 5 DEL CONTRATO 067 DE 2020 - PERIODO DE MAYO DE 2020 - LINEA C - HONORARIOS ART. 424</t>
  </si>
  <si>
    <t>AUTORIZACIÓN DE PAGO 6 DEL CONTRATO 067 DE 2020 - PERIODO DE JUNIO DE 2020 - LINEA C - HONORARIOS ART. 424</t>
  </si>
  <si>
    <t>PAGO 7 DEL CONTRATO 067 DE 2020 - PERIODO DE JULIO DE 2020 - LINEA C - HONORARIOS ART. 424</t>
  </si>
  <si>
    <t>PAGO 8 DEL CONTRATO 067 DE 2020 - PERIODO DE AGOSTO DE 2020 - LINEA C - HONORARIOS ART. 424</t>
  </si>
  <si>
    <t>PAGO 9 DEL CONTRATO 067 DE 2020 - PERIODO DE SEPTIEMBRE  DE 2020 - LINEA C - HONORARIOS ART. 424</t>
  </si>
  <si>
    <t>PAGO 10 DEL CONTRATO 067 DE 2020 - PERIODO DE OCTUBRE  DE 2020 - LINEA C - HONORARIOS ART. 424</t>
  </si>
  <si>
    <t>DS PAGO 10 DEL CONTRATO 067 DE 2020 - PERIODO DE NOVIEMBRE  DE 2020 - LINEA C - HONORARIOS ART. 424</t>
  </si>
  <si>
    <t>DS PAGO 12 DEL CONTRATO 067 DE 2020 - PERIODO DE DICIEMBRE DE 2020 - LINEA C - HONORARIOS ART. 424</t>
  </si>
  <si>
    <t>CONTRATO072/2020 PAOLA ANDREA PARAMO ARAGON</t>
  </si>
  <si>
    <t>AUTORIZACION DE PAGO 1 CONTRATO 072 DEL PERIODO DEL 20 DE ENERO AL 31 DE ENERO DE 2020 -LINEA H.  HONORARIOS-ART No.424</t>
  </si>
  <si>
    <t>AUTORIZACION DE PAGO 2 CONTRATO 072 DEL PERIODO FEBRERO 2020 -LINEA H.  HONORARIOS-ART No.424</t>
  </si>
  <si>
    <t>AUTORIZACIÓN DE PAGO 3 CONTRATO 072 DEL PERIODO MARZO 2020 -LINEA H.  HONORARIOS-ART No.424</t>
  </si>
  <si>
    <t>AUTORIZACIÓN DE PAGO 4 CONTRATO 072 DEL PERIODO DEL 01 AL 23 DE ABRIL 2020 -LINEA H.  HONORARIOS-ART No.424</t>
  </si>
  <si>
    <t>CONTRATO071/2020 MANUEL  GONZALEZ HURTADO</t>
  </si>
  <si>
    <t>AUTORIZACION DE PAGO 1 CONTRATO 071 DEL PERIODO DEL 20 DE ENERO AL 31 DE ENERO DE 2020 -LINEA B.  HONORARIOS-ART No.424</t>
  </si>
  <si>
    <t>PAGO 2  DE HONORARIOS DEL  CONTRATO 071  DE 2020 - PERIODO DE FEBRERO DE 2020 - LINEA B</t>
  </si>
  <si>
    <t>AUTORIZACION DE PAGO 3 CONTRATO 071  DEL PERIODO MARZO 2020 -OBJETO B.  HONORARIOS-ART No.424</t>
  </si>
  <si>
    <t>AUTORIZACION DE PAGO  CONTRATO 071  DEL PERIODO ABRIL  2020 -OBJETO B.  HONORARIOS-ART No.424</t>
  </si>
  <si>
    <t>CONTRATO 089/2020 OLGA BEATRIZ LATORRE BOTERO</t>
  </si>
  <si>
    <t>PAGO 1  DE HONORARIOS DEL  CONTRATO 089  DE 2020 - DEL MES DE ENERO DE 2020</t>
  </si>
  <si>
    <t>AUTORIZACION DE PAGO 02 CONTRATO 089 DE 2020 - PERIODO DEL 01 DE FEBRERO AL 29 DE FEBRERO  DE 2020 - OBJETO C HONORARIOS ART.424</t>
  </si>
  <si>
    <t>AUTORIZACION DE PAGO 1 DESPLAZAMIENTOS: GASTOS DE VIAJE (HONORARIOS) ART 424 POR $784.423 Y REEMBOLSO  ART -141 POR  $502.770 CONTRATO 089 DE 2020 -  DEL MES DE  FEBRERO DE 2020</t>
  </si>
  <si>
    <t xml:space="preserve">desplazamiento </t>
  </si>
  <si>
    <t>AUTORIZACION DE PAGO 3 CONTRATO 089  DEL PERIODO MARZO 2020 -LINEA C.  HONORARIOS-ART No.424</t>
  </si>
  <si>
    <t>AUTORIZACION DE PAGO 4 CONTRATO 089  DEL PERIODO ABRIL 2020 -LINEA C.  HONORARIOS-ART No.424</t>
  </si>
  <si>
    <t>4129384'</t>
  </si>
  <si>
    <t>AUTORIZACION DE PAGO 5 CONTRATO 089  DEL PERIODO MAYO  2020 -LINEA C.  HONORARIOS-ART No.424</t>
  </si>
  <si>
    <t>AUTORIZACION DE PAGO 6 CONTRATO 089  DEL PERIODO JUNIO  2020 -LINEA C.  HONORARIOS-ART No.424</t>
  </si>
  <si>
    <t>AUTORIZACION DE PAGO 7 CONTRATO 089  DEL PERIODO JULIO  2020 -LINEA C.  HONORARIOS-ART No.424</t>
  </si>
  <si>
    <t>AUTORIZACION DE PAGO 8 CONTRATO 089  DEL PERIODO AGOSTO  2020 -LINEA C.  HONORARIOS-ART No.424</t>
  </si>
  <si>
    <t>AUTORIZACION DE PAGO 9 CONTRATO 089  DEL PERIODO SEPTIEMBRE  2020 -LINEA C.  HONORARIOS-ART No.424</t>
  </si>
  <si>
    <t>AUTORIZACION DE PAGO 10 CONTRATO 089  DEL PERIODO OCTUBRE  2020 -LINEA C.  HONORARIOS-ART No.424</t>
  </si>
  <si>
    <t>DS AUTORIZACION DE PAGO 11 CONTRATO 089  DEL PERIODO NOVIEMBRE  2020 -LINEA C.  HONORARIOS-ART No.424</t>
  </si>
  <si>
    <t>DS AUTORIZACION DE PAGO 12 CONTRATO 089  DEL PERIODO DICIEMBRE 2020 -LINEA C.  HONORARIOS-ART No.424</t>
  </si>
  <si>
    <t>CONTRATO 095/2020 GUSTAVO EDUARDO ARENAS CAMPOS</t>
  </si>
  <si>
    <t>PAGO 1  DE HONORARIOS DEL  CONTRATO 095  DE 2020 - DEL MES DE ENERO DE 2020</t>
  </si>
  <si>
    <t>AUTORIZACIÓN DE PAGO 2 DEL CONTRATO 095 DE 2020 - PERIODO DE FEBRERO DE 2020 - LINEA C - HONORARIOS ART. 424</t>
  </si>
  <si>
    <t>AUTORIZACIÓN DE PAGO 3 DEL CONTRATO 095 DE 2020 - PERIODO DE MARZO DE 2020 - LINEA C - HONORARIOS ART. 424</t>
  </si>
  <si>
    <t>AUTORIZACIÓN DE PAGO 4 DEL CONTRATO 095 DE 2020 - PERIODO DE ABRIL DE 2020 - LINEA C - HONORARIOS ART. 424</t>
  </si>
  <si>
    <t>AUTORIZACIÓN DE PAGO 5 DEL CONTRATO 095 DE 2020 - PERIODO DE MAYO DE 2020 - OBJETO C - HONORARIOS ART. 424</t>
  </si>
  <si>
    <t>AUTORIZACIÓN DE PAGO 6 DEL CONTRATO 095 DE 2020 - PERIODO DE JUNIO DE 2020 - OBJETO C - HONORARIOS ART. 424</t>
  </si>
  <si>
    <t>AUTORIZACIÓN DE PAGO 7 DEL CONTRATO 095 DE 2020 - PERIODO DE JULIO DE 2020 - OBJETO C - HONORARIOS ART. 424</t>
  </si>
  <si>
    <t>AUTORIZACIÓN DE PAGO 8 DEL CONTRATO 095 DE 2020 - PERIODO DE AGOSTO DE 2020 - OBJETO C - HONORARIOS ART. 424</t>
  </si>
  <si>
    <t>AUTORIZACIÓN DE PAGO 9 DEL CONTRATO 095 DE 2020 - PERIODO DE SEPTOEMBRE DE 2020 - OBJETO C - HONORARIOS ART. 424</t>
  </si>
  <si>
    <t>AUTORIZACIÓN DE PAGO 10 DEL CONTRATO 095 DE 2020 - PERIODO DE OCTUBRE DE 2020 - OBJETO C - HONORARIOS ART. 424</t>
  </si>
  <si>
    <t>DS AUTORIZACIÓN DE PAGO 11 DEL CONTRATO 095 DE 2020 - PERIODO DE NOVIEMBRE DE 2020 - OBJETO C - HONORARIOS ART. 424</t>
  </si>
  <si>
    <t>DS AUTORIZACIÓN DE PAGO 12 DEL CONTRATO 095 DE 2020 - PERIODO DE DICIEMBRE DE 2020 - OBJETO C - HONORARIOS ART. 424</t>
  </si>
  <si>
    <t>CONTRATO 091/2020 JUAN CARLOS CALDERON FERNANDEZ</t>
  </si>
  <si>
    <t>AUTORIZACION DE PAGO 01 DEL CONTRATO 091  DE 2020 - PERIODO ENERO DE 2020 LINEA E- HONORARIOS ART. 424</t>
  </si>
  <si>
    <t>PAGO 2  DE HONORARIOS DEL  CONTRATO 091  DE 2020 - PERIODO DE FEBRERO DE 2020 - LINEA -E</t>
  </si>
  <si>
    <t>PAGO 03 DEL CONTRATO 091  DE 2020 - PERIODO MARZO DE 2020 LINEA E- HONORARIOS ART. 424</t>
  </si>
  <si>
    <t>PAGO 04 DEL CONTRATO 091  DE 2020 - PERIODO ABRIL DE 2020 OBJETO E- HONORARIOS ART. 424</t>
  </si>
  <si>
    <t>PAGO 05 DEL CONTRATO 091  DE 2020 - PERIODO MAYO DE 2020 OBJETO E- HONORARIOS ART. 424</t>
  </si>
  <si>
    <t>PAGO 06 DEL CONTRATO 091  DE 2020 - PERIODO JUNIO DE 2020 OBJETO E- HONORARIOS ART. 424</t>
  </si>
  <si>
    <t>PAGO 07 DEL CONTRATO 091  DE 2020 - PERIODO JULIO DE 2020 OBJETO E- HONORARIOS ART. 424</t>
  </si>
  <si>
    <t>PAGO 08 DEL CONTRATO 091  DE 2020 - PERIODO AGOSTO DE 2020 OBJETO E- HONORARIOS ART. 424</t>
  </si>
  <si>
    <t>PAGO 09 DEL CONTRATO 091  DE 2020 - PERIODO SEPTIEMBRE DE 2020 OBJETO E- HONORARIOS ART. 424</t>
  </si>
  <si>
    <t>PAGO 10 DEL CONTRATO 091  DE 2020 - PERIODO OCTUBRE DE 2020 OBJETO E- HONORARIOS ART. 424</t>
  </si>
  <si>
    <t>DS PAGO 11 DEL CONTRATO 091  DE 2020 - PERIODO NOVIEMBRE DE 2020 OBJETO E- HONORARIOS ART. 424</t>
  </si>
  <si>
    <t>DS PAGO 12 DEL CONTRATO 091  DE 2020 - PERIODO DICIEMBRE DE 2020 OBJETO E- HONORARIOS ART. 424</t>
  </si>
  <si>
    <t>CONTRATO 110/2020 LINDA YANETH ORREGO GIL</t>
  </si>
  <si>
    <t>AUTORIZACION DE PAGO 01 DEL CONTRATO 110  DE 2020 - PERIODO del 28 al 31 DE ENERO DE 2020 LINEA C- HONORARIOS ART. 424</t>
  </si>
  <si>
    <t>PAGO 2  DE HONORARIOS DEL  CONTRATO 110  DE 2020 - PERIODO DE FEBRERO DE 2020 - LINEA -C</t>
  </si>
  <si>
    <t>PAGO 3  DE HONORARIOS DEL  CONTRATO 110  DE 2020 - PERIODO DE MARZO DE 2020 - LINEA -C</t>
  </si>
  <si>
    <t>PAGO 4  DE HONORARIOS DEL  CONTRATO 110  DE 2020 - PERIODO DE ABRIL DE 2020 - LINEA -C</t>
  </si>
  <si>
    <t>PAGO 5  DE HONORARIOS DEL  CONTRATO 110  DE 2020 - PERIODO DE MAYO DE 2020 - OBJETO -C</t>
  </si>
  <si>
    <t>PAGO 6 DE HONORARIOS DEL  CONTRATO 110  DE 2020 - PERIODO DE JUNIO DE 2020 - OBJETO -C</t>
  </si>
  <si>
    <t>PAGO 7 DE HONORARIOS DEL  CONTRATO 110  DE 2020 - PERIODO DE JULIO DE 2020 - OBJETO -C</t>
  </si>
  <si>
    <t>PAGO 8 DE HONORARIOS DEL  CONTRATO 110  DE 2020 - PERIODO DE AGOSTO DE 2020 - OBJETO -C</t>
  </si>
  <si>
    <t>PAGO 9 DE HONORARIOS DEL  CONTRATO 110  DE 2020 - PERIODO DE SEPTIEMBRE DE 2020 - OBJETO -C</t>
  </si>
  <si>
    <t>DS PAGO 10 DE HONORARIOS DEL  CONTRATO 110  DE 2020 - PERIODO DE OCTUBRE DE 2020 - OBJETO -C</t>
  </si>
  <si>
    <t>DS PAGO 11 DE HONORARIOS DEL  CONTRATO 110  DE 2020 - PERIODO DE NOVIEMBRE DE 2020 - OBJETO -C</t>
  </si>
  <si>
    <t>DS PAGO 12 DE HONORARIOS DEL CONTRATO 110  DE 2020 - PERIODO DE DICIEMBRE DE 2020 - OBJETO -C</t>
  </si>
  <si>
    <t>CONTRATO 073/2020 LUIS ROBERTO CRUZ GONZALEZ</t>
  </si>
  <si>
    <t>AUTORIZACION DE PAGO 01 DEL CONTRATO 073  DE 2020 - PERIODO del 20 al 31 DE ENERO DE 2020 LINEA G- HONORARIOS ART. 424</t>
  </si>
  <si>
    <t>PAGO 02 DEL CONTRATO 073  DE 2020 - PERIODO FEBRERO 2020 LINEA G- HONORARIOS ART. 424</t>
  </si>
  <si>
    <t>PAGO 03 DEL CONTRATO 073  DE 2020 - PERIODO MARZO 2020 LINEA G- HONORARIOS ART. 424</t>
  </si>
  <si>
    <t>PAGO 04 DEL CONTRATO 073  DE 2020 - PERIODO ABRIL 2020 LINEA G-HONORARIOS ART. 424</t>
  </si>
  <si>
    <t>PAGO 05 DEL CONTRATO 073  DE 2020 - PERIODO MAYO 2020 LINEA G-HONORARIOS ART. 424</t>
  </si>
  <si>
    <t>PAGO 06 DEL CONTRATO 073  DE 2020 - PERIODO JUNIO 2020 LINEA G-HONORARIOS ART. 424</t>
  </si>
  <si>
    <t>PAGO 07 DEL CONTRATO 073  DE 2020 - PERIODO JULIO 2020 LINEA G-HONORARIOS ART. 424</t>
  </si>
  <si>
    <t>PAGO 08 DEL CONTRATO 073  DE 2020 - PERIODO AGOSTO 2020 LINEA G-HONORARIOS ART. 424</t>
  </si>
  <si>
    <t>PAGO 09 DEL CONTRATO 073  DE 2020 - PERIODO SEPTIEMBRE  2020 LINEA G-HONORARIOS ART. 424</t>
  </si>
  <si>
    <t>PAGO 10 DEL CONTRATO 073  DE 2020 - PERIODO OCTUBRE  2020 LINEA G-HONORARIOS ART. 424</t>
  </si>
  <si>
    <t>DS PAGO 10 DEL CONTRATO 073  DE 2020 - PERIODO NOVIEMBRE   2020 LINEA G-HONORARIOS ART. 424</t>
  </si>
  <si>
    <t>DS PAGO 12 DEL CONTRATO 073 DE 2020 - PERIODO DICIEMBRE 2020 LINEA G-HONORARIOS ART. 424</t>
  </si>
  <si>
    <t>AUTORIZACION DE PAGO 1 DESPLAZAMIENTOS: GASTOS DE VIAJE (HONORARIOS) ART 424 POR $885.2003 Y REEMBOLSO  ART -141 POR  $824.585 CONTRATO 073 DE 2020 -  DEL MES DE  NOVIEMBRE DE 2020</t>
  </si>
  <si>
    <t>CONTRATO 109/2020 MARIA ALEJANDRA SANTOS YEPES</t>
  </si>
  <si>
    <t>AUTORIZACION DE PAGO 01 DEL CONTRATO 109  DE 2020 - PERIODO del 27 al 31 DE ENERO DE 2020 LINEA C- HONORARIOS ART. 424</t>
  </si>
  <si>
    <t>AUTORIZACION DE PAGO 02 DEL CONTRATO 109  DE 2020 - PERIODO FEBRERO DE 2020 LINEA C- HONORARIOS ART. 424</t>
  </si>
  <si>
    <t>AUTORIZACION DE PAGO 3 CONTRATO 109  DEL PERIODO MARZO 2020 -LINEA C.  HONORARIOS-ART No.424</t>
  </si>
  <si>
    <t>AUTORIZACION DE PAGO 4 CONTRATO 109  DEL PERIODO ABRIL 2020 -LINEA C.  HONORARIOS-ART No.424</t>
  </si>
  <si>
    <t>AUTORIZACION DE PAGO 5 CONTRATO 109  DEL PERIODO MAYO  2020 -OBJETO C.  HONORARIOS-ART No.424</t>
  </si>
  <si>
    <t>AUTORIZACION DE PAGO 6 CONTRATO 109  DEL PERIODO JUNIO  2020 -OBJETO C.  HONORARIOS-ART No.424</t>
  </si>
  <si>
    <t>AUTORIZACION DE PAGO 7 CONTRATO 109  DEL PERIODO JULIO  2020 -OBJETO C.  HONORARIOS-ART No.424</t>
  </si>
  <si>
    <t>AUTORIZACION DE PAGO 8 CONTRATO 109  DEL PERIODO AGOSTO  2020 -OBJETO C.  HONORARIOS-ART No.424</t>
  </si>
  <si>
    <t>AUTORIZACION DE PAGO 9 CONTRATO 109  DEL PERIODO SEPTIEMBRE  2020 -OBJETO C.  HONORARIOS-ART No.424</t>
  </si>
  <si>
    <t>DS AUTORIZACION DE DS PAGO 10 CONTRATO 109  DEL PERIODO OCTUBRE  2020 -OBJETO C.  HONORARIOS-ART No.424</t>
  </si>
  <si>
    <t>DS AUTORIZACION DE DS PAGO 11 CONTRATO 109  DEL PERIODO NOVIEMBRE  2020 -OBJETO C.  HONORARIOS-ART No.424</t>
  </si>
  <si>
    <t>DS AUTORIZACION DE DS PAGO 12 CONTRATO 109  DEL PERIODO DICIEMBRE  2020 -OBJETO C.  HONORARIOS-ART No.424</t>
  </si>
  <si>
    <t>sALDO LIBERADO</t>
  </si>
  <si>
    <t>CONTRATO 111/2020 EDUARDO ENRIQUE ESTRADA GAVIRIA</t>
  </si>
  <si>
    <t>PAGO 1 DE HONORARIOS DEL  CONTRATO 111 DE 2020 - PERIODO ENTRE 27 Y EL 31 ENERO DE 2020</t>
  </si>
  <si>
    <t>PAGO 2 DE HONORARIOS DEL  CONTRATO 111 DE 2020 - PERIODO FEBRERO DE 2020 - LINEA H - ART 424</t>
  </si>
  <si>
    <t>AUTORIZACION DE PAGO 3 CONTRATO 111  DEL PERIODO MARZO 2020 -OBJETOH.  HONORARIOS-ART No.424</t>
  </si>
  <si>
    <t>AUTORIZACION DE PAGO 4 CONTRATO 111  DEL PERIODO ABRIL 2020 -OBJETOH.  HONORARIOS-ART No.424</t>
  </si>
  <si>
    <t>AUTORIZACION DE PAGO 5 CONTRATO 111  DEL PERIODO MAYO 2020 -OBJETOH.  HONORARIOS-ART No.424</t>
  </si>
  <si>
    <t>AUTORIZACION DE PAGO 6 CONTRATO 111  DEL PERIODO JUNIO 2020 -OBJETOH.  HONORARIOS-ART No.424</t>
  </si>
  <si>
    <t>PAGO 7 CONTRATO 111  DEL PERIODO JULIO 2020 -OBJETOH.  HONORARIOS-ART No.424</t>
  </si>
  <si>
    <t>PAGO 8 CONTRATO 111  DEL PERIODO AGOSTO  2020 -OBJETOH.  HONORARIOS-ART No.424</t>
  </si>
  <si>
    <t>PAGO 9 CONTRATO 111  DEL PERIODO SEPTIEMBRE  2020 -OBJETOH.  HONORARIOS-ART No.424</t>
  </si>
  <si>
    <t>DS PAGO 10 CONTRATO 111  DEL PERIODO OCTUBRE  2020 -OBJETOH.  HONORARIOS-ART No.424</t>
  </si>
  <si>
    <t>DS PAGO 11 CONTRATO 111  DEL PERIODO NOVIEMBRE  2020 -OBJETOH.  HONORARIOS-ART No.424</t>
  </si>
  <si>
    <t>DS PAGO 12 CONTRATO 111  DEL PERIODO DICIEMBRE 2020 -OBJETOH.  HONORARIOS-ART No.424</t>
  </si>
  <si>
    <t>CONTRATO 133/2020 JAIRO ALBERTO HUERTAS CONTRERAS</t>
  </si>
  <si>
    <t>AUTORIZACION DE PAGO 01 CONTRATO 133 DE 2020 - PERIODO DEL 29 AL 31 DE ENERO DE 2020  - OBJETO C HONORARIOS ART.424</t>
  </si>
  <si>
    <t>COMENTARIO 1 AUTORIZACION DE PAGO 2 CONTRATO 133 DE 2020 -DEL MES DE FEBRERO DE 2020 - OBJETO C HONORARIOS ART. 424. SE APLICA EMBARGO DEL VALOR DEL PAGO MENOS 1 SMMLV Y EL RESTANTE EN LA QUINTA PARTE SEGÚN OFICIO 47981</t>
  </si>
  <si>
    <t>COMENTARIO 1 AUTORIZACION DE PAGO 3 CONTRATO 133 DE 2020 -DEL MES DE MARZO DE 2020 - OBJETO C HONORARIOS ART. 424. SE APLICA EMBARGO DEL VALOR DEL PAGO MENOS 1 SMMLV Y EL RESTANTE EN LA QUINTA PARTE SEGÚN OFICIO 47981 DE AGOSTO 8 DE 2019.</t>
  </si>
  <si>
    <t>COMENTARIO 1, AUTORIZACION DE PAGO 4 CONTRATO 133 DE 2020 -DEL MES DE ABRIL DE 2020 - OBJETO C HONORARIOS ART. 424. SE APLICA EMBARGO DEL VALOR DEL PAGO MENOS 1 SMMLV Y EL RESTANTE EN LA QUINTA PARTE SEGÚN OFICIO 47981 DE AGOSTO 8 DE 2019.</t>
  </si>
  <si>
    <t>" COMENTARIO 1, AUTORIZACIÓN DE PAGO 5 CONTRATO 133 DE 2020 -DEL MES DE MAYO DE 2020 - OBJETO C HONORARIOS ART. 424. SE APLICA EMBARGO DEL VALOR DEL PAGO MENOS 1 SMMLV Y EL RESTANTE EN LA QUINTA PARTE SEGÚN OFICIO 47981 DE AGOSTO 8</t>
  </si>
  <si>
    <t>AUTORIZACIÓN DE PAGO 6 CONTRATO 133 DE 2020 -DEL MES DE JUNIO DE 2020 - OBJETO C HONORARIOS ART. 424. SE APLICA EMBARGO DEL VALOR DEL PAGO MENOS 1 SMMLV Y EL RESTANTE EN LA QUINTA PARTE SEGÚN OFICIO</t>
  </si>
  <si>
    <t>" COMENTARIO 1, AUTORIZACIÓN DE PAGO 7 CONTRATO 133 DE 2020 -DEL MES DE JULIO DE 2020 - OBJETO C HONORARIOS ART. 424. SE APLICA EMBARGO DEL VALOR DEL PAGO MENOS 1 SMMLV Y EL RESTANTE EN LA QUINTA PARTE SEGÚN OFICIO</t>
  </si>
  <si>
    <t>COMENTARIO 1, AUTORIZACIÓN DE PAGO 8 CONTRATO 133 DE 2020 -DEL MES DE AGOSTO DE 2020 - OBJETO C HONORARIOS ART. 424. SE APLICA EMBARGO DEL VALOR DEL PAGO MENOS 1 SMMLV Y EL RESTANTE EN LA QUINTA PARTE SEGÚN OFICIO 47981 DE AGOSTO 8 DE 2019.</t>
  </si>
  <si>
    <t>COMENTARIO 1, AUTORIZACIÓN DE PAGO 9 CONTRATO 133 DE 2020 -DEL MES DE SEPTIEMBREDE 2020 - OBJETO C HONORARIOS ART. 424. SE APLICA EMBARGO DEL VALOR DEL PAGO MENOS 1 SMMLV Y EL RESTANTE EN LA QUINTA PARTE SEGÚN OFICIO 47981 DE</t>
  </si>
  <si>
    <t>COMENTARIO 1, AUTORIZACIÓN DE PAGO 10 CONTRATO 133 DE 2020 -DEL MES DE OCTUBRE 2020 - OBJETO C HONORARIOS ART. 424. SE APLICA EMBARGO DEL VALOR DEL PAGO MENOS 1 SMMLV Y EL RESTANTE EN LA QUINTA PARTE SEGÚN OFICIO 47981 DE</t>
  </si>
  <si>
    <t>DS AUTORIZACION DE PAGO 11 CONTRATO 133 DE 2020 - PERIODO DE NOVIEMBRE DE 2020  - OBJETO C HONORARIOS ART.424</t>
  </si>
  <si>
    <t>DS COMENTARIO 1, AUTORIZACIÓN DE PAGO 12 CONTRATO 133 DE 2020 -DEL MES DE DICIEMBRE 2020 - OBJETO C HONORARIOS ART. 424. SE APLICA EMBARGO DEL VALOR DEL PAGO MENOS 1 SMMLV Y EL RESTANTE EN LA QUINTA PARTE SEGÚN OFICIO 47981 DE AGOSTO 8 DE 2019.</t>
  </si>
  <si>
    <t>CONTRATO 094/2020 SANDRA JOHANNA NAVIA GOMEZ</t>
  </si>
  <si>
    <t>AUTORIZACION DE  PAGO 01 DEL CONTRATO 094 DE 2020 - PERIODO DEL 23 AL 31 DE ENERO DE 2020 OBJETO C .- HONORARIOS-ART.424</t>
  </si>
  <si>
    <t>AUTORIZACION DE  PAGO 02 DEL CONTRATO 094 DE 2020 - PERIODO DE FEBRERO DE 2020 OBJETO C .- HONORARIOS-ART.424</t>
  </si>
  <si>
    <t>AUTORIZACION DE  PAGO 03 DEL CONTRATO 094 DE 2020 - PERIODO DE MARZO DE 2020 OBJETO C .- HONORARIOS-ART.424</t>
  </si>
  <si>
    <t>AUTORIZACION DE  PAGO 04 DEL CONTRATO 094 DE 2020 - PERIODO DE ABRIL DE 2020 OBJETO C .- HONORARIOS-ART.424</t>
  </si>
  <si>
    <t>AUTORIZACION DE  PAGO 05 DEL CONTRATO 094 DE 2020 - PERIODO DE MAYO  DE 2020 OBJETO C .- HONORARIOS-ART.424</t>
  </si>
  <si>
    <t>AUTORIZACION DE  PAGO 06 DEL CONTRATO 094 DE 2020 - PERIODO DE JUNIO  DE 2020 OBJETO C .- HONORARIOS-ART.424</t>
  </si>
  <si>
    <t>AUTORIZACION DE  PAGO 07 DEL CONTRATO 094 DE 2020 - PERIODO DE JULIO  DE 2020 OBJETO C .- HONORARIOS-ART.424</t>
  </si>
  <si>
    <t>AUTORIZACION DE  PAGO 08 DEL CONTRATO 094 DE 2020 - PERIODO DE AGOSTO  DE 2020 OBJETO C .- HONORARIOS-ART.424</t>
  </si>
  <si>
    <t>AUTORIZACION DE  PAGO 09 DEL CONTRATO 094 DE 2020 - PERIODO DE SEPTIEMBRE  DE 2020 OBJETO C .- HONORARIOS-ART.424</t>
  </si>
  <si>
    <t>DS AUTORIZACION DE  PAGO 10 DEL CONTRATO 094 DE 2020 - PERIODO DE OCTUBRE  DE 2020 OBJETO C .- HONORARIOS-ART.424</t>
  </si>
  <si>
    <t>DS AUTORIZACION DE  PAGO 11 DEL CONTRATO 094 DE 2020 - PERIODO DE NOVIEMBRE  DE 2020 OBJETO C .- HONORARIOS-ART.424</t>
  </si>
  <si>
    <t>DS AUTORIZACION DE  PAGO 12 DEL CONTRATO 094 DE 2020 - PERIODO DE DICIEMBRE DE 2020 OBJETO C .- HONORARIOS-ART.424</t>
  </si>
  <si>
    <t>CONTRATO 088/2020 ALEJANDRA  MERLANO SOTO</t>
  </si>
  <si>
    <t>AUTORIZACION DE PAGO 01 CONTRATO 088 DE 2020 - PERIODO DEL 23 AL 31 DE ENERO DE 2020  - OBJETO g HONORARIOS ART.424</t>
  </si>
  <si>
    <t>AUTORIZACION DE PAGO 2 CONTRATO 088 DEL PERIODO FEBRERO 2020 -LINEA G.  HONORARIOS-ART No.424</t>
  </si>
  <si>
    <t>AUTORIZACIÓN DE PAGO 03 CONTRATO 088 DE 2020 -DEL 01 AL 19  DE MARZO DE 2020  - OBJETO G HONORARIOS ART.424</t>
  </si>
  <si>
    <t>CONTRATO 087/2020 OLGA JOSEFINA THEVENING AMARIS</t>
  </si>
  <si>
    <t>PAGO 1  DE HONORARIOS DEL  CONTRATO 087 DE 2020 - DEL MES DE 23 AL 31  DE 2020</t>
  </si>
  <si>
    <t>AUTORIZACIÓN DE PAGO 2 DEL CONTRATO 087 DE 2020 - PERIODO DE FEBRERO DE 2020 - LINEA A - HONORARIOS ART. 424</t>
  </si>
  <si>
    <t>AUTORIZACION DE PAGO 3 CONTRATO 087  DEL PERIODO MARZO 2020 -LINEA A.  HONORARIOS-ART No.424</t>
  </si>
  <si>
    <t>AUTORIZACION DE PAGO 4 CONTRATO 087  DEL PERIODO ABRIL 2020 -LINEA A.  HONORARIOS-ART No.424</t>
  </si>
  <si>
    <t>AUTORIZACION DE PAGO 5 CONTRATO 087  DEL PERIODO MAYO 2020 -LINEA A.  HONORARIOS-ART No.424</t>
  </si>
  <si>
    <t>AUTORIZACION DE PAGO 6 CONTRATO 087  DEL PERIODO JUNIO 2020 -LINEA A.  HONORARIOS-ART No.424</t>
  </si>
  <si>
    <t>PAGO 7 CONTRATO 087  DEL PERIODO JULIO 2020 -LINEA A.  HONORARIOS-ART No.424</t>
  </si>
  <si>
    <t>PAGO 8 CONTRATO 087  DEL PERIODO AGOSTO 2020 -LINEA A.  HONORARIOS-ART No.424</t>
  </si>
  <si>
    <t>PAGO 9 CONTRATO 087  DEL PERIODO SEPTIMBRE 2020 -LINEA A.  HONORARIOS-ART No.424</t>
  </si>
  <si>
    <t>PAGO 10 CONTRATO 087  DEL PERIODO OCTUBRE  2020 -LINEA A.  HONORARIOS-ART No.424</t>
  </si>
  <si>
    <t>DS PAGO 11 CONTRATO 087  DEL PERIODO NOVIEMBRE  2020 -LINEA A.  HONORARIOS-ART No.424</t>
  </si>
  <si>
    <t>DS PAGO 12 CONTRATO 087  DEL PERIODO DICIEMBRE  2020 -LINEA A.  HONORARIOS-ART No.424</t>
  </si>
  <si>
    <t>CONTRATO 132/2020 JEIMMY MAGDALY ROJAS BENTACOURT</t>
  </si>
  <si>
    <t>PAGO 01  DE HONORARIOS DEL  CONTRATO 132 DE 2020 - PERIODO DEL 28 AL 31 DE ENERO DEL 2020 - OBJETO C HONORARIOS ART.424</t>
  </si>
  <si>
    <t>1028782661  - 1027046713</t>
  </si>
  <si>
    <t>PAGO 02  DE HONORARIOS DEL  CONTRATO 132 DE 2020 - PERIODO DE FEBRERO DEL 2020 - OBJETO C HONORARIOS ART.424</t>
  </si>
  <si>
    <t>PAGO 03  DE HONORARIOS DEL  CONTRATO 132 DE 2020 - PERIODO DE MARZO DEL 2020 - OBJETO C HONORARIOS ART.424</t>
  </si>
  <si>
    <t>PAGO 04 DE HONORARIOS DEL  CONTRATO 132 DE 2020 - PERIODO DE ABRIL DEL 2020 - OBJETO C HONORARIOS ART.424</t>
  </si>
  <si>
    <t>PAGO 05 DE HONORARIOS DEL  CONTRATO 132 DE 2020 - PERIODO DE MAYO  DEL 2020 - OBJETO C HONORARIOS ART.424</t>
  </si>
  <si>
    <t>PAGO 06 DE HONORARIOS DEL  CONTRATO 132 DE 2020 - PERIODO DE JUNIO DEL 2020 - OBJETO C HONORARIOS ART.424</t>
  </si>
  <si>
    <t>PAGO 07 DE HONORARIOS DEL  CONTRATO 132 DE 2020 - PERIODO DE JULIO DEL 2020 - OBJETO C HONORARIOS ART.424</t>
  </si>
  <si>
    <t>PAGO 08 DE HONORARIOS DEL  CONTRATO 132 DE 2020 - PERIODO DE AGOSTO DEL 2020 - OBJETO C HONORARIOS ART.424</t>
  </si>
  <si>
    <t>PAGO 09 DE HONORARIOS DEL  CONTRATO 132 DE 2020 - PERIODO DE SEPTIEMBRE DEL 2020 - OBJETO C HONORARIOS ART.424</t>
  </si>
  <si>
    <t>DS PAGO 10 DE HONORARIOS DEL  CONTRATO 132 DE 2020 - PERIODO DE OCTUBRE DEL 2020 - OBJETO C HONORARIOS ART.424</t>
  </si>
  <si>
    <t>DS PAGO 11 DE HONORARIOS DEL  CONTRATO 132 DE 2020 - PERIODO DE NOVIEMBRE DEL 2020 - OBJETO C HONORARIOS ART.424</t>
  </si>
  <si>
    <t>DS PAGO 12 DE HONORARIOS DEL  CONTRATO 132 DE 2020 - PERIODO DE DICIEMBRE DEL 2020 - OBJETO C HONORARIOS ART.424</t>
  </si>
  <si>
    <t>CONTRATO 131/2020 MELISSA TATIANA ADARME VALBUENA</t>
  </si>
  <si>
    <t>AUTORIZACION DE PAGO 01 CONTRATO 131 DE 2020 - PERIODO DEL 28 AL 31 DE ENERO DE 2020  - OBJETO C HONORARIOS ART.424</t>
  </si>
  <si>
    <t>AUTORIZACION DE PAGO 2 CONTRATO 131 DEL PERIODO FEBRERO 2020 -LINEA C.  HONORARIOS-ART No.424</t>
  </si>
  <si>
    <t>AUTORIZACION DE PAGO 3 CONTRATO 131  DEL PERIODO MARZO 2020 -OBJETO C.  HONORARIOS-ART No.424</t>
  </si>
  <si>
    <t>AUTORIZACION DE PAGO 4 CONTRATO 131  DEL PERIODO ABRIL 2020 -OBJETO C.  HONORARIOS-ART No.424</t>
  </si>
  <si>
    <t>AUTORIZACION DE PAGO 5 CONTRATO 131  DEL PERIODO MAYO 2020 -OBJETO C.  HONORARIOS-ART No.424</t>
  </si>
  <si>
    <t>AUTORIZACION DE PAGO 6 CONTRATO 131  DEL PERIODO JUNIO 2020 -OBJETO C.  HONORARIOS-ART No.424</t>
  </si>
  <si>
    <t>AUTORIZACION DE PAGO 7 CONTRATO 131  DEL PERIODO JULIO 2020 -OBJETO C.  HONORARIOS-ART No.424</t>
  </si>
  <si>
    <t>AUTORIZACION DE PAGO 8 CONTRATO 131  DEL PERIODO AGOSTO 2020 -OBJETO C.  HONORARIOS-ART No.424</t>
  </si>
  <si>
    <t>AUTORIZACION DE PAGO 9 CONTRATO 131  DEL PERIODO SEPTIEMBRE  2020 -OBJETO C.  HONORARIOS-ART No.424</t>
  </si>
  <si>
    <t>AUTORIZACION DE PAGO 10 CONTRATO 131  DEL PERIODO OCTUBRE  2020 -OBJETO C.  HONORARIOS-ART No.424</t>
  </si>
  <si>
    <t>DS AUTORIZACION DE PAGO 11 CONTRATO 131  DEL PERIODO NOVIEMBRE  2020 -OBJETO C.  HONORARIOS-ART No.424</t>
  </si>
  <si>
    <t>DS AUTORIZACION DE PAGO 12 CONTRATO 131  DEL PERIODO DICIEMBRE 2020 -OBJETO C.  HONORARIOS-ART No.424</t>
  </si>
  <si>
    <t>CONTRATO 160/2020 ADRIANA PATRICIA AREVALO BELTRAN</t>
  </si>
  <si>
    <t>PAGO 01 CONTRATO 160 DE 2020 - PERIODO DEL 30 AL 31 DE ENERO DE 2020 - OBJETO C HONORARIOS ART.424</t>
  </si>
  <si>
    <t>AUTORIZACION DE PAGO 2 CONTRATO 160 DEL PERIODO FEBRERO 2020 -LINEA C.  HONORARIOS-ART No.424</t>
  </si>
  <si>
    <t>AUTORIZACION DE PAGO 4 CONTRATO 160 DE ABRIL 2020 -OBJETO  C.  HONORARIOS-ART No.424</t>
  </si>
  <si>
    <t>AUTORIZACION DE PAGO 5 CONTRATO 160 DE MAYO 2020 -OBJETO  C.  HONORARIOS-ART No.424</t>
  </si>
  <si>
    <t>AUTORIZACION DE PAGO 6 CONTRATO 160 DE JUNIO 2020 -OBJETO  C.  HONORARIOS-ART No.424</t>
  </si>
  <si>
    <t>AUTORIZACION DE PAGO 7 CONTRATO 160 DE JULIO 2020 -OBJETO  C.  HONORARIOS-ART No.424</t>
  </si>
  <si>
    <t>AUTORIZACION DE PAGO 8 CONTRATO 160 DE AGOSTO 2020 -OBJETO  C.  HONORARIOS-ART No.424</t>
  </si>
  <si>
    <t>AUTORIZACION DE PAGO 9 CONTRATO 160 DE SEPTIEMBRE 2020 -OBJETO  C.  HONORARIOS-ART No.424</t>
  </si>
  <si>
    <t>DS AUTORIZACION DE PAGO 10 CONTRATO 160 DE OCTUBRE 2020 -OBJETO  C.  HONORARIOS-ART No.424</t>
  </si>
  <si>
    <t>DS AUTORIZACION DE PAGO 11 CONTRATO 160 DE NOVIEMBRE 2020 -OBJETO  C.  HONORARIOS-ART No.424</t>
  </si>
  <si>
    <t>DS AUTORIZACION DE PAGO 12 CONTRATO 160 DE DICIEMBRE 2020 -OBJETO  C.  HONORARIOS-ART No.424</t>
  </si>
  <si>
    <t>CONTRATO 179/2020 MARIA ALEXANDRA MERLANO MORALES</t>
  </si>
  <si>
    <t>AUTORIZACION DE PAGO 01 CONTRATO 179 DE 2020 - PERIODO DEL 01 DE FEBRERO AL 29 DE FEBRERO  DE 2020 - OBJETO A HONORARIOS ART.424</t>
  </si>
  <si>
    <t>AUTORIZACION DE PAGO 2 CONTRATO 179  DEL PERIODO MARZO 2020 -LINEA A.  HONORARIOS-ART No.424</t>
  </si>
  <si>
    <t>AUTORIZACION DE PAGO 3 CONTRATO 179  DEL PERIODO ABRIL 2020 -OBJERO A.  HONORARIOS-ART No.424</t>
  </si>
  <si>
    <t>AUTORIZACION DE PAGO 4 CONTRATO 179  DEL PERIODO MAYO  2020 -LINEA A.  HONORARIOS-ART No.424</t>
  </si>
  <si>
    <t>AUTORIZACION DE PAGO 5 CONTRATO 179  DEL PERIODO JUNIO  2020 -LINEA A.  HONORARIOS-ART No.424</t>
  </si>
  <si>
    <t>PAGO 6 CONTRATO 179  DEL PERIODO JULIO  2020 -LINEA A.  HONORARIOS-ART No.424</t>
  </si>
  <si>
    <t>PAGO 7 CONTRATO 179  DEL PERIODO AGOSTO  2020 -LINEA A.  HONORARIOS-ART No.424</t>
  </si>
  <si>
    <t>PAGO 8 CONTRATO 179  DEL PERIODO SEPTIEMBRE  2020 -LINEA A.  HONORARIOS-ART No.424</t>
  </si>
  <si>
    <t>PAGO 9 CONTRATO 179  DEL PERIODO OCTUBRE  2020 -LINEA A.  HONORARIOS-ART No.424</t>
  </si>
  <si>
    <t>DS PAGO 10  CONTRATO 179  DEL PERIODO NOVIEMBRE  2020 -LINEA A.  HONORARIOS-ART No.424</t>
  </si>
  <si>
    <t>DS PAGO 11 CONTRATO 179  DEL PERIODO DICIEMBRE 2020 -LINEA A.  HONORARIOS-ART No.424</t>
  </si>
  <si>
    <t>CONTRATO 165/2020 YOLANDA  BELTRAN BARRERA</t>
  </si>
  <si>
    <t>AUTORIZACIÓN DE PAGO 1 DEL CONTRATO 165 DE 2020 - COMPROMETIDO EN LOS DÍAS 30 Y 31 DE ENERO DE 2020 LINEA C- HONORARIOS ART. 424</t>
  </si>
  <si>
    <t>PAGO 2  DE HONORARIOS DEL  CONTRATO 165  DE 2020 - PERIODO DE FEBRERO DE 2020 - LINEA -C</t>
  </si>
  <si>
    <t>AUTORIZACIÓN PAGO 3 DE HONORARIOS DEL  CONTRATO 165  DE 2020 - PERIODO DE MARZO DE 2020 - LINEA -C</t>
  </si>
  <si>
    <t>PAGO 4  DE HONORARIOS DEL  CONTRATO 165  DE 2020 - PERIODO DE ABRIL DE 2020 - OBJETO -C</t>
  </si>
  <si>
    <t>PAGO 5  DE HONORARIOS DEL  CONTRATO 165  DE 2020 - PERIODO DE MAYO DE 2020 - OBJETO -C</t>
  </si>
  <si>
    <t>PAGO 6 DE HONORARIOS DEL  CONTRATO 165  DE 2020 - PERIODO DE JUNIO DE 2020 - OBJETO -C</t>
  </si>
  <si>
    <t>PAGO 7 DE HONORARIOS DEL  CONTRATO 165  DE 2020 - PERIODO DE JULIO DE 2020 - OBJETO -C</t>
  </si>
  <si>
    <t>PAGO 8 DE HONORARIOS DEL  CONTRATO 165  DE 2020 - PERIODO DE AGOSTO DE 2020 - OBJETO -C</t>
  </si>
  <si>
    <t>PAGO 9 DE HONORARIOS DEL  CONTRATO 165  DE 2020 - PERIODO DE SEPTIEMBRE DE 2020 - OBJETO -C</t>
  </si>
  <si>
    <t>DS PAGO 10 DE HONORARIOS DEL  CONTRATO 165  DE 2020 - PERIODO DE OCTUBRE DE 2020 - OBJETO -C</t>
  </si>
  <si>
    <t>DS PAGO 11 DE HONORARIOS DEL  CONTRATO 165  DE 2020 - PERIODO DE NOVIEMBRE DE 2020 - OBJETO -C</t>
  </si>
  <si>
    <t>DS PAGO 12 DE HONORARIOS DEL  CONTRATO 165  DE 2020 - PERIODO DE DICIEMBRE DE 2020 - OBJETO -C</t>
  </si>
  <si>
    <t>CONTRATO 225/2020 LUZ BETTY ASTROS SOLANO</t>
  </si>
  <si>
    <t>AUTORIZACIÓN DE PAGO 1 DEL CONTRATO 225 DE 2020 - PERIODO DE FEBRERO DE 2020 - LINEA H - HONORARIOS ART. 424</t>
  </si>
  <si>
    <t>AUTORIZACION DE PAGO 2 CONTRATO 225  DEL PERIODO MARZO 2020 -LINEA H.  HONORARIOS-ART No.424</t>
  </si>
  <si>
    <t>AUTORIZACION DE PAGO 3 CONTRATO 225  DEL PERIODO ABRIL 2020 -LINEA H.  HONORARIOS-ART No.424</t>
  </si>
  <si>
    <t>AUTORIZACION DE PAGO 4 CONTRATO 225  DEL PERIODO MAYO 2020 -OBJETO- H.  HONORARIOS-ART No.424</t>
  </si>
  <si>
    <t>AUTORIZACION DE PAGO 5 CONTRATO 225  DEL PERIODO JUNIO 2020 -OBJETO- H.  HONORARIOS-ART No.424</t>
  </si>
  <si>
    <t>PAGO 6 CONTRATO 225  DEL PERIODO JULIO 2020 -OBJETO- H.  HONORARIOS-ART No.424</t>
  </si>
  <si>
    <t>PAGO 7 CONTRATO 225  DEL PERIODO AGOSTO 2020 -OBJETO- H.  HONORARIOS-ART No.424</t>
  </si>
  <si>
    <t>PAGO 8 CONTRATO 225 DEL PERIODO SEPTIEMBRE 2020 -OBJETO- H. HONORARIOS-ART No.424</t>
  </si>
  <si>
    <t>DS PAGO 9 CONTRATO 225  DEL PERIODO OCTUBRE 2020 -OBJETO- H.  HONORARIOS-ART No.424</t>
  </si>
  <si>
    <t>DS PAGO 10 CONTRATO 225  DEL PERIODO NOVIEMBRE 2020 -OBJETO- H.  HONORARIOS-ART No.424</t>
  </si>
  <si>
    <t>DS PAGO 11 CONTRATO 225  DEL PERIODO DICIEMBRE 2020 -OBJETO- H.  HONORARIOS-ART No.424</t>
  </si>
  <si>
    <t>CONTRATO 161/2020 LILIA JOHANNA GIRALDO</t>
  </si>
  <si>
    <t>PAGO 1  DE HONORARIOS DEL  CONTRATO 161 DE 2020 - PERIODO DEL 30 AL 31 DE ENERO DE 2020 - LINEA C -  ART. 424</t>
  </si>
  <si>
    <t>AUTORIZACION DE PAGO 2 CONTRATO 161 DEL PERIODO FEBRERO 2020 -LINEA C.  HONORARIOS-ART No.424</t>
  </si>
  <si>
    <t>AUTORIZACION DE PAGO 3 CONTRATO 161 DEL PERIODO MARZO 2020 -LINEA C.  HONORARIOS-ART No.424</t>
  </si>
  <si>
    <t>AUTORIZACION DE PAGO 4 CONTRATO 161 DEL PERIODO ABRIL  2020 -OBJETO C HONORARIOS-ART No.424</t>
  </si>
  <si>
    <t>AUTORIZACION DE PAGO 5 CONTRATO 161 DEL PERIODO MAYO  2020 -OBJETO C HONORARIOS-ART No.424</t>
  </si>
  <si>
    <t>AUTORIZACION DE PAGO 6 CONTRATO 161 DEL PERIODO JUNIO  2020 -OBJETO C HONORARIOS-ART No.424</t>
  </si>
  <si>
    <t>AUTORIZACION DE PAGO 7 CONTRATO 161 DEL PERIODO JULIO 2020 -OBJETO C HONORARIOS-ART No.424</t>
  </si>
  <si>
    <t>AUTORIZACION DE PAGO 8 CONTRATO 161 DEL PERIODO AGOSTO 2020 -OBJETO C HONORARIOS-ART No.424</t>
  </si>
  <si>
    <t>DS AUTORIZACION DE PAGO 9 CONTRATO 161 DEL PERIODO SEPTIEMBRE 2020 -OBJETO C HONORARIOS-ART No.424</t>
  </si>
  <si>
    <t>DS AUTORIZACION DE PAGO 10 CONTRATO 161 DEL PERIODO OCTUBRE 2020 -OBJETO C HONORARIOS-ART No.424</t>
  </si>
  <si>
    <t>DS AUTORIZACION DE PAGO 11 CONTRATO 161 DEL PERIODO NOVIEMBRE 2020 -OBJETO C HONORARIOS-ART No.424</t>
  </si>
  <si>
    <t>DS AUTORIZACION DE PAGO 12 CONTRATO 161 DEL PERIODO DICIEMBRE 2020 -OBJETO C HONORARIOS-ART No.424</t>
  </si>
  <si>
    <t>CONTRATO 151/2020 ANGELA YOLIMA NOVA MOLANO</t>
  </si>
  <si>
    <t>PAGO 1  DE HONORARIOS DEL  CONTRATO 151  DE 2020 - PERIODO DE ENERO DE 2020 - LINEA -C</t>
  </si>
  <si>
    <t>PAGO 2  DE HONORARIOS DEL  CONTRATO 151  DE 2020 - PERIODO DE FEBRERO DE 2020 - LINEA -C  . ART 424</t>
  </si>
  <si>
    <t>PAGO 3 DE HONORARIOS DEL CONTRATO 151  DE 2020 - PERIODO DE MARZO DE 2020 - LINEA -C</t>
  </si>
  <si>
    <t>PAGO 04 DE HONORARIOS DEL CONTRATO 151  DE 2020 - PERIODO DE ABRIL DE 2020 - OBJETO -C</t>
  </si>
  <si>
    <t>PAGO 05 DE HONORARIOS DEL CONTRATO 151  DE 2020 - PERIODO DE MAYO DE 2020 - OBJETO -C</t>
  </si>
  <si>
    <t>PAGO 06 DE HONORARIOS DEL CONTRATO 151  DE 2020 - PERIODO DE JUNIO DE 2020 - OBJETO -C</t>
  </si>
  <si>
    <t>PAGO 07 DE HONORARIOS DEL CONTRATO 151  DE 2020 - PERIODO DE JULIO DE 2020 - OBJETO -C</t>
  </si>
  <si>
    <t>PAGO 08 DE HONORARIOS DEL CONTRATO 151  DE 2020 - PERIODO DE AGOTO DE 2020 - OBJETO -C</t>
  </si>
  <si>
    <t>PAGO 09 DE HONORARIOS DEL CONTRATO 151  DE 2020 - PERIODO DE SEPTIEMBRE DE 2020 - OBJETO -C</t>
  </si>
  <si>
    <t>PAGO 10 DE HONORARIOS DEL CONTRATO 151  DE 2020 - PERIODO DE OCTUBRE DE 2020 - OBJETO -C</t>
  </si>
  <si>
    <t>DS PAGO 11 DE HONORARIOS DEL CONTRATO 151  DE 2020 - PERIODO DE NOVIEMBRE  DE 2020 - OBJETO -C</t>
  </si>
  <si>
    <t>DS PAGO 12 DE HONORARIOS DEL CONTRATO 151  DE 2020 - PERIODO DE DICIEMBRE  DE 2020 - OBJETO -C</t>
  </si>
  <si>
    <t xml:space="preserve">CONTRATO 158/2020 VALERIA RAMOS MARQUEZ </t>
  </si>
  <si>
    <t>AUTORIZACION DE PAGO 1 CONTRATO 158 DEL PERIODO ENERO 2020 -LINEA D.  HONORARIOS-ART No.424</t>
  </si>
  <si>
    <t>AUTORIZACION DE PAGO 2 CONTRATO 158 DEL PERIODO FEBRERO 2020 -LINEA D.  HONORARIOS-ART No.424</t>
  </si>
  <si>
    <t>AUTORIZACIÓN DE PAGO 3 CONTRATO 158 DEL PERIODO MARZO 2020 -LINEA D.  HONORARIOS-ART No.424</t>
  </si>
  <si>
    <t>AUTORIZACIÓN DE PAGO 4 CONTRATO 158 DEL PERIODO ABRIL 2020 -LINEA D.  HONORARIOS-ART No.424</t>
  </si>
  <si>
    <t>AUTORIZACIÓN DE PAGO 5 CONTRATO 158 DEL PERIODO MAYO 2020 -OBJETO D.  HONORARIOS-ART No.424</t>
  </si>
  <si>
    <t>AUTORIZACIÓN DE PAGO 6 CONTRATO 158 DEL PERIODO JUNIO 2020 -OBJETO D.  HONORARIOS-ART No.424</t>
  </si>
  <si>
    <t>AUTORIZACIÓN DE PAGO 7 CONTRATO 158 DEL PERIODO JULIO 2020 -OBJETO D.  HONORARIOS-ART No.424</t>
  </si>
  <si>
    <t>AUTORIZACIÓN DE PAGO 8 CONTRATO 158 DEL PERIODO AGOSTO 2020 -OBJETO D.  HONORARIOS-ART No.424</t>
  </si>
  <si>
    <t>AUTORIZACIÓN DE PAGO 9 CONTRATO 158 DEL PERIODO SEPTIEMBRE 2020 -OBJETO D.  HONORARIOS-ART No.424</t>
  </si>
  <si>
    <t>DS AUTORIZACIÓN DE PAGO 10 CONTRATO 158 DEL PERIODO OCTUBRE 2020 -OBJETO D.  HONORARIOS-ART No.424</t>
  </si>
  <si>
    <t>DS AUTORIZACIÓN DE PAGO 11 CONTRATO 158 DEL PERIODO NOVIEMBRE 2020 -OBJETO D.  HONORARIOS-ART No.424</t>
  </si>
  <si>
    <t>DS AUTORIZACIÓN DE PAGO 12 CONTRATO 158 DEL PERIODO DICIEMBRE 2020 -OBJETO D.  HONORARIOS-ART No.424</t>
  </si>
  <si>
    <t>CONTRATO 164/2020 LILIANA PATRICIA NEGRETE ESPITIA</t>
  </si>
  <si>
    <t>AUTORIZACION DE PAGO 1 CONTRATO 164 DEL PERIODO ENERO 2020 -LINEA D.  HONORARIOS-ART No.424</t>
  </si>
  <si>
    <t>AUTORIZACION DE PAGO 2 CONTRATO 164 DEL PERIODO FEBRERO 2020 -LINEA D.  HONORARIOS-ART No.424</t>
  </si>
  <si>
    <t>AUTORIZACIÓN DE PAGO 3 CONTRATO 164 DEL PERIODO MARZO 2020 -LINEA D.  HONORARIOS-ART No.424</t>
  </si>
  <si>
    <t>AUTORIZACION DE PAGO 4 CONTRATO 164 DEL PERIODO ABRIL 2020 -OBJETO  D.  HONORARIOS-ART No.424</t>
  </si>
  <si>
    <t>AUTORIZACION DE PAGO 5 CONTRATO 164 DEL PERIODO MAYO 2020 -OBJETO  D.  HONORARIOS-ART No.424</t>
  </si>
  <si>
    <t>AUTORIZACION DE PAGO 6 CONTRATO 164 DEL PERIODO JUNIO 2020 -OBJETO  D.  HONORARIOS-ART No.424</t>
  </si>
  <si>
    <t>AUTORIZACION DE PAGO 7 CONTRATO 164 DEL PERIODO JULIO 2020 -OBJETO  D.  HONORARIOS-ART No.424</t>
  </si>
  <si>
    <t>AUTORIZACION DE PAGO 8 CONTRATO 164 DEL PERIODO AGOSTO 2020 -OBJETO  D.  HONORARIOS-ART No.424</t>
  </si>
  <si>
    <t>AUTORIZACION DE PAGO 9 CONTRATO 164 DEL PERIODO SEPTIEMBRE  2020 -OBJETO  D.  HONORARIOS-ART No.424</t>
  </si>
  <si>
    <t>DS AUTORIZACION DE PAGO 10 CONTRATO 164 DEL PERIODO OCTUBRE  2020 -OBJETO  D.  HONORARIOS-ART No.424</t>
  </si>
  <si>
    <t>DS AUTORIZACION DE PAGO 11 CONTRATO 164 DEL PERIODO NOVIEMBRE 2020 -OBJETO  D.  HONORARIOS-ART No.424</t>
  </si>
  <si>
    <t>DS AUTORIZACION DE PAGO 12 CONTRATO 164 DEL PERIODO DICIEMBRE 2020 -OBJETO  D.  HONORARIOS-ART No.424</t>
  </si>
  <si>
    <t>CONTRATO 223/2020 VIVIANA MARCELA PEDRAZA SERRANO</t>
  </si>
  <si>
    <t>AUTORIZACION DE PAGO 1 CONTRATO 223 DEL PERIODO FEBRERO 2020 -LINEA G.  HONORARIOS-ART No.424</t>
  </si>
  <si>
    <t>AUTORIZACION DE PAGO 2 CONTRATO 223 DEL PERIODO MARZO 2020 -LINEA G.  HONORARIOS-ART No.424</t>
  </si>
  <si>
    <t>AUTORIZACION DE PAGO 3 CONTRATO 223 DEL PERIODO ABRIL 2020 -OBJETO G.  HONORARIOS-ART No.424</t>
  </si>
  <si>
    <t>AUTORIZACION DE PAGO 5 CONTRATO 223 DEL PERIODO MAYO 2020 -OBJETO G.  HONORARIOS-ART No.424</t>
  </si>
  <si>
    <t>AUTORIZACION DE PAGO 5 CONTRATO 223 DEL PERIODO JUNIO 2020 -OBJETO G.  HONORARIOS-ART No.424</t>
  </si>
  <si>
    <t>PAGO 6 CONTRATO 223 DEL PERIODO JULIO 2020 -OBJETO G.  HONORARIOS-ART No.424</t>
  </si>
  <si>
    <t>PAGO 7 CONTRATO 223 DEL PERIODO AGOSTO 2020 -OBJETO G.  HONORARIOS-ART No.424</t>
  </si>
  <si>
    <t>PAGO 8 CONTRATO 223 DEL PERIODO SEPTIEMBRE 2020 -OBJETO G.  HONORARIOS-ART No.424</t>
  </si>
  <si>
    <t>PAGO 9 CONTRATO 223 DEL PERIODO OCTUBRE 2020 -OBJETO G.  HONORARIOS-ART No.424</t>
  </si>
  <si>
    <t>DS PAGO 10 CONTRATO 223 DEL PERIODO NOVIEMBRE 2020 -OBJETO G.  HONORARIOS-ART No.424</t>
  </si>
  <si>
    <t>DS PAGO 11 CONTRATO 223 DEL PERIODO DICIEMBRE 2020 -OBJETO G.  HONORARIOS-ART No.424</t>
  </si>
  <si>
    <t>CONTRATO 256/2020 JOSE ALBERTO BORBON REYES</t>
  </si>
  <si>
    <t>PAGO 02 DEL CONTRATO 256 DE 2020 - PERIODO MARZO DE 2020 LINEA A- HONORARIOS ART. 424</t>
  </si>
  <si>
    <t>PAGO 01 DEL CONTRATO 256 DE 2020 - PERIODO DEL 27 AL 29 DE FEBRERO DE 2020 LINEA A- HONORARIOS ART. 424</t>
  </si>
  <si>
    <t>PAGO 03 DEL CONTRATO 256 DE 2020 - PERIODO ABRIL DE 2020 LINEA A- HONORARIOS ART. 424</t>
  </si>
  <si>
    <t>PAGO 04 DEL CONTRATO 256 DE 2020 - PERIODO MAYO DE 2020 LINEA A- HONORARIOS ART. 424</t>
  </si>
  <si>
    <t>PAGO 05 DEL CONTRATO 256 DE 2020 - PERIODO JUNIO DE 2020 OBJETO A- HONORARIOS ART. 424</t>
  </si>
  <si>
    <t>PAGO 6 DEL CONTRATO 256 DE 2020 - PERIODO JULIO DE 2020 LINEA A- HONORARIOS ART. 424</t>
  </si>
  <si>
    <t>PAGO 7 DEL CONTRATO 256 DE 2020 - PERIODO AGOSTO DE 2020 LINEA A- HONORARIOS ART. 424</t>
  </si>
  <si>
    <t>PAGO 8 DEL CONTRATO 256 DE 2020 - PERIODO SEPTIEMBRE DE 2020 LINEA A- HONORARIOS ART. 424</t>
  </si>
  <si>
    <t>DS PAGO 9 DEL CONTRATO 256 DE 2020 - PERIODO OCTUBRE DE 2020 LINEA A- HONORARIOS ART. 424</t>
  </si>
  <si>
    <t>DS PAGO 10 DEL CONTRATO 256 DE 2020 - PERIODO NOVIEMBRE DE 2020 LINEA A- HONORARIOS ART. 424</t>
  </si>
  <si>
    <t>DS PAGO 11 DEL CONTRATO 256 DE 2020 - PERIODO DICIEMBRE DE 2020 LINEA A- HONORARIOS ART. 424</t>
  </si>
  <si>
    <t>CONTRATO 274/2020 JOSE WILLIAM ALVARADO</t>
  </si>
  <si>
    <t>AUTORIZACION DE PAGO 1 CONTRATO 274 DEL PERIODO ABRIL 2020 -OBJETO C.  HONORARIOS-ART No.424</t>
  </si>
  <si>
    <t>AUTORIZACION DE PAGO 2 CONTRATO 274 DEL PERIODO MAYO 2020 -OBJETO C.  HONORARIOS-ART No.424</t>
  </si>
  <si>
    <t>AUTORIZACION DE PAGO 3 CONTRATO 274 DEL PERIODO JUNIO 2020 -OBJETO C.  HONORARIOS-ART No.424</t>
  </si>
  <si>
    <t>AUTORIZACION DE PAGO 4 CONTRATO 274 DEL PERIODO JULIO 2020 -OBJETO C.  HONORARIOS-ART No.424</t>
  </si>
  <si>
    <t>AUTORIZACION DE PAGO 5 CONTRATO 274 DEL PERIODO AGOSTO 2020 -OBJETO C.  HONORARIOS-ART No.424</t>
  </si>
  <si>
    <t>AUTORIZACION DE PAGO 6 CONTRATO 274 DEL PERIODO SEPTIEMBRE 2020 -OBJETO C.  HONORARIOS-ART No.424</t>
  </si>
  <si>
    <t>DS AUTORIZACION DE PAGO 7 CONTRATO 274 DEL PERIODO OCTUBRE 2020 -OBJETO C.  HONORARIOS-ART No.424</t>
  </si>
  <si>
    <t>DS AUTORIZACION DE PAGO 8 CONTRATO 274 DEL PERIODO NOVIEMBRE 2020 -OBJETO C.  HONORARIOS-ART No.424</t>
  </si>
  <si>
    <t>DS AUTORIZACION DE PAGO 9 CONTRATO 274 DEL PERIODO DICIEMBRE 2020 -OBJETO C.  HONORARIOS-ART No.424</t>
  </si>
  <si>
    <t>CONTRATO 275/2020 MONICA VIVIANA GUEVARA GONZALEZ</t>
  </si>
  <si>
    <t>AUTORIZACION DE PAGO 1 CONTRATO 275 DEL PERIODO ABRIL 2020 -OBJETO C.  HONORARIOS-ART No.424</t>
  </si>
  <si>
    <t>AUTORIZACION DE PAGO 2 CONTRATO 275 DEL PERIODO MAYO  2020 -OBJETO C.  HONORARIOS-ART No.424</t>
  </si>
  <si>
    <t>AUTORIZACION DE PAGO 3 CONTRATO 275 DEL PERIODO JUNIO  2020 -OBJETO C.  HONORARIOS-ART No.424</t>
  </si>
  <si>
    <t>AUTORIZACION DE PAGO 4 CONTRATO 275 DEL PERIODO JULIO  2020 -OBJETO C.  HONORARIOS-ART No.424</t>
  </si>
  <si>
    <t>AUTORIZACION DE PAGO 5 CONTRATO 275 DEL PERIODO AGOSTO  2020 -OBJETO C.  HONORARIOS-ART No.424</t>
  </si>
  <si>
    <t>AUTORIZACION DE PAGO 6 CONTRATO 275 DEL PERIODO SEPTIEMBRE  2020 -OBJETO C.  HONORARIOS-ART No.424</t>
  </si>
  <si>
    <t>DS AUTORIZACION DE PAGO 7 CONTRATO 275 DEL PERIODO OCTUBRE 2020 -OBJETO C.  HONORARIOS-ART No.424</t>
  </si>
  <si>
    <t>DS AUTORIZACION DE PAGO 8 CONTRATO 275 DEL PERIODO NOVIEMBRE 2020 -OBJETO C.  HONORARIOS-ART No.424</t>
  </si>
  <si>
    <t>DS AUTORIZACION DE PAGO 9 CONTRATO 275 DEL PERIODO DICIEMBRE 2020 -OBJETO C.  HONORARIOS-ART No.424</t>
  </si>
  <si>
    <t xml:space="preserve">CONTRATO 189/2020 ORLANDO SARMIENTO TORRES </t>
  </si>
  <si>
    <t>PAGO 2  DE HONORARIOS DEL  CONTRATO 189  DE 2020 - PERIODO DE  FEBRERO DE 2020 - OBJETO -G</t>
  </si>
  <si>
    <t>PAGO 3 DE HONORARIOS DEL  CONTRATO 189  DE 2020 - PERIODO DE MARZO  DE 2020 - OBJETO -G</t>
  </si>
  <si>
    <t>PAGO 4 DE HONORARIOS DEL  CONTRATO 189  DE 2020 - PERIODO DE  ABRIL DE 2020 - OBJETO -G</t>
  </si>
  <si>
    <t>PAGO 1 DE HONORARIOS DEL  CONTRATO 189  DE 2020 - PERIODO DE  ENERO DE 2020 - OBJETO -G</t>
  </si>
  <si>
    <t>PAGO 6 DE HONORARIOS DEL  CONTRATO 189  DE 2020 - PERIODO DE  JUNIO  DE 2020 - OBJETO -G</t>
  </si>
  <si>
    <t>PAGO  07 DE HONORARIOS DEL  CONTRATO 189  DE 2020 - PERIODO DE  JULIO  DE 2020 - OBJETO -G</t>
  </si>
  <si>
    <t>PAGO 5 DE HONORARIOS DEL  CONTRATO 189  DE 2020 - PERIODO DE  MAYO  DE 2020 - OBJETO -G</t>
  </si>
  <si>
    <t>PAGO  08 DE HONORARIOS DEL  CONTRATO 189  DE 2020 - PERIODO DE  AGOSTO  DE 2020 - OBJETO -G</t>
  </si>
  <si>
    <t xml:space="preserve">CONTRATO 230/2020 WILL ROBINSON LOPERA CARDONA </t>
  </si>
  <si>
    <t>AUTORIZACION DE PAGO 1 CONTRATO 230 DE 2020 - PERIODO FEBRERO DE 2020  - OBJETO C HONORARIOS ART.424</t>
  </si>
  <si>
    <t>AUTORIZACION DE PAGO 2 CONTRATO 230 DE 2020 - PERIODO MARZO DE 2020  - OBJETO C HONORARIOS ART.424</t>
  </si>
  <si>
    <t>AUTORIZACION DE PAGO 3 CONTRATO 230 DE 2020 - PERIODO ABRIL DE 2020  - OBJETO C HONORARIOS ART.424</t>
  </si>
  <si>
    <t>AUTORIZACION DE PAGO 4 CONTRATO 230 DE 2020 - PERIODO MAYO DE 2020  - OBJETO C HONORARIOS ART.424</t>
  </si>
  <si>
    <t>AUTORIZACION DE PAGO 5 CONTRATO 230 DE 2020 - PERIODO JUNIO  DE 2020  - OBJETO C HONORARIOS ART.424</t>
  </si>
  <si>
    <t>AUTORIZACION DE PAGO 6 CONTRATO 230 DE 2020 - PERIODO JULIO  DE 2020  - OBJETO C HONORARIOS ART.424</t>
  </si>
  <si>
    <t>AUTORIZACION DE PAGO 7 CONTRATO 230 DE 2020 - PERIODO AGOSTO  DE 2020  - OBJETO C HONORARIOS ART.424</t>
  </si>
  <si>
    <t>AUTORIZACION DE PAGO 8 CONTRATO 230 DE 2020 - PERIODO SEPTIEMBRE  DE 2020  - OBJETO C HONORARIOS ART.424</t>
  </si>
  <si>
    <t>AUTORIZACION DE PAGO 09 CONTRATO 230 DE 2020 - PERIODO OCTUBRE DE 2020 - OBJETO C HONORARIOS ART.424</t>
  </si>
  <si>
    <t>DS AUTORIZACION DE PAGO 10 CONTRATO 230 DE 2020 - PERIODO NOVIEMBRE  DE 2020  - OBJETO C HONORARIOS ART.424</t>
  </si>
  <si>
    <t>DS AUTORIZACION DE PAGO 11 CONTRATO 230 DE 2020 - PERIODO DICIEMBRE DE 2020 - OBJETO C HONORARIOS ART.424</t>
  </si>
  <si>
    <t>CONTRATO 235/2020 MARIA DE JESUS DUSSAN LUBERTH</t>
  </si>
  <si>
    <t>PAGO 01 DE HONORARIOS DEL  CONTRATO 235 DE 2020 - PERIODO DE 12 AL  29 DE FEBRERO  DEL 2020 - OBJETO G HONORARIOS ART.424</t>
  </si>
  <si>
    <t>PAGO 03 DE HONORARIOS DEL  CONTRATO 235 DE 2020 - PERIODO ABRIL DEL 2020 - OBJETO G HONORARIOS ART.424</t>
  </si>
  <si>
    <t>PAGO 04 DE HONORARIOS DEL  CONTRATO 235 DE 2020 - PERIODO MAYO DEL 2020 - OBJETO G HONORARIOS ART.424</t>
  </si>
  <si>
    <t>PAGO 05 DE HONORARIOS DEL  CONTRATO 235 DE 2020 - PERIODO JUNIO DEL 2020 - OBJETO G HONORARIOS ART.424</t>
  </si>
  <si>
    <t>PAGO 06 DE HONORARIOS DEL  CONTRATO 235 DE 2020 - PERIODO JULIO DEL 2020 - OBJETO G HONORARIOS ART.424</t>
  </si>
  <si>
    <t>DS PAGO 07 DE HONORARIOS DEL  CONTRATO 235 DE 2020 - PERIODO AGOSTO DEL 2020 - OBJETO G HONORARIOS ART.424</t>
  </si>
  <si>
    <t>DS PAGO 08 DE HONORARIOS DEL  CONTRATO 235 DE 2020 - PERIODO SEPTIEMBRE DEL 2020 - OBJETO G HONORARIOS ART.424</t>
  </si>
  <si>
    <t>DS PAGO 09 DE HONORARIOS DEL CONTRATO 235 DE 2020 - PERIODO OCTUBRE DEL 2020 - OBJETO G HONORARIOS ART.424</t>
  </si>
  <si>
    <t>DS PAGO 10 DE HONORARIOS DEL CONTRATO 235 DE 2020 - PERIODO NOVIEMBRE DEL 2020 - OBJETO G HONORARIOS ART.424</t>
  </si>
  <si>
    <t>DS PAGO 11 DE HONORARIOS DEL CONTRATO 235 DE 2020 - PERIODO DICIEMBRE DEL 2020 - OBJETO G HONORARIOS ART.424</t>
  </si>
  <si>
    <t xml:space="preserve">CONTRATO 272/2020 YENNY ISABEL PRIETO </t>
  </si>
  <si>
    <t>PAGO 01 DEL CONTRATO 272  DE 2020 - PERIODO ABRIL 2020 LINEA G-HONORARIOS ART. 424</t>
  </si>
  <si>
    <t>PAGO 02 DEL CONTRATO 272  DE 2020 - PERIODO MAYO 2020 LINEA G-HONORARIOS ART. 424</t>
  </si>
  <si>
    <t>PAGO 03 DEL CONTRATO 272  DE 2020 - PERIODO JUNIO 2020 LINEA G-HONORARIOS ART. 424</t>
  </si>
  <si>
    <t>PAGO 04 DEL CONTRATO 272  DE 2020 - PERIODO JULIO 2020 LINEA G-HONORARIOS ART. 424</t>
  </si>
  <si>
    <t>PAGO 05 DEL CONTRATO 272  DE 2020 - PERIODO  AGOSTO 2020 LINEA G-HONORARIOS ART. 424</t>
  </si>
  <si>
    <t>PAGO 06 DEL CONTRATO 272  DE 2020 - PERIODO  SEPTIEMBRE 2020 LINEA G-HONORARIOS ART. 424</t>
  </si>
  <si>
    <t>DS PAGO 07 DEL CONTRATO 272  DE 2020 - PERIODO  OCTUBRE 2020 LINEA G-HONORARIOS ART. 424</t>
  </si>
  <si>
    <t>DS PAGO 08 DEL CONTRATO 272  DE 2020 - PERIODO  NOVIEMBRE 2020 LINEA G-HONORARIOS ART. 424</t>
  </si>
  <si>
    <t>DS PAGO 09 DEL CONTRATO 272  DE 2020 - PERIODO DICIEMBRE 2020 LINEA G-HONORARIOS ART. 424</t>
  </si>
  <si>
    <t xml:space="preserve">CONTRATO 288/2020 ELVIRA DEL PILAR FORERO HERNANDEZ </t>
  </si>
  <si>
    <t>PAGO 01 DE HONORARIOS DEL  CONTRATO 288 DE 2020 - PERIODO DE ABRIL DEL 2020 - OBJETO H HONORARIOS ART.424</t>
  </si>
  <si>
    <t>17737361 PAGADO POR EMPRESA</t>
  </si>
  <si>
    <t>PAGO 02 DE HONORARIOS DEL  CONTRATO 288 DE 2020 - PERIODO DE MAYO DEL 2020 - OBJETO H HONORARIOS ART.424</t>
  </si>
  <si>
    <t>18003455 Y 17834250</t>
  </si>
  <si>
    <t>PAGO 03 DE HONORARIOS DEL  CONTRATO 288 DE 2020 - PERIODO DE JUNIO DEL 2020 - OBJETO H HONORARIOS ART.424</t>
  </si>
  <si>
    <t>PAGO 04 CONTRATO 288 DE 2020 - PERIODO DE JULIO DEL 2020 - OBJETO H HONORARIOS ART.424</t>
  </si>
  <si>
    <t>PAGO 05 CONTRATO 288 DE 2020 - PERIODO DE AGOSTO DEL 2020 - OBJETO H HONORARIOS ART.424</t>
  </si>
  <si>
    <t>PAGO 06 CONTRATO 288 DE 2020 - PERIODO DE SEPTIEMBRE DEL 2020 - OBJETO H HONORARIOS ART.424</t>
  </si>
  <si>
    <t>DS PAGO 07 CONTRATO 288 DE 2020 - PERIODO DE OCTUBRE DEL 2020 - OBJETO H HONORARIOS ART.424</t>
  </si>
  <si>
    <t>DS PAGO 08 CONTRATO 288 DE 2020 - PERIODO DE NOVIEMBRE DEL 2020 - OBJETO H HONORARIOS ART.424</t>
  </si>
  <si>
    <t>DS PAGO 09 CONTRATO 288 DE 2020 - PERIODO DE DICIEMBRE DEL 2020 - OBJETO H HONORARIOS ART.424</t>
  </si>
  <si>
    <t>RESOLUCION 1110/2020 COLPENSIONES</t>
  </si>
  <si>
    <t>AUTORIZACION DE PAGO 1 RESOLUCION  1110 DEL VIGENCIA   2020 -OBJETO D.  HONORARIOS-ART No.424</t>
  </si>
  <si>
    <t>CONTRATO 279/2020  JOANETH MELISSA COCA</t>
  </si>
  <si>
    <t>AUTORIZACION DE PAGO 1 CONTRATO  DE ABRIL  2020 -OBJETO  C.  HONORARIOS-ART No.424</t>
  </si>
  <si>
    <t>AUTORIZACION DE PAGO 2 CONTRATO  DE MAYO  2020 -OBJETO  C.  HONORARIOS-ART No.424</t>
  </si>
  <si>
    <t>AUTORIZACION DE PAGO 3 CONTRATO  DE JUNIO  2020 -OBJETO  C.  HONORARIOS-ART No.424</t>
  </si>
  <si>
    <t>AUTORIZACION DE PAGO 4CONTRATO  DE JULIO  2020 -OBJETO  C.  HONORARIOS-ART No.424</t>
  </si>
  <si>
    <t>AUTORIZACION DE PAGO 5 CONTRATO  DE AGOSTO  2020 -OBJETO  C.  HONORARIOS-ART No.424</t>
  </si>
  <si>
    <t>AUTORIZACION DE PAGO 6 CONTRATO  DE SEPTIEMBRE  2020 -OBJETO  C.  HONORARIOS-ART No.424</t>
  </si>
  <si>
    <t>DS AUTORIZACION DE PAGO 7 CONTRATO 279 DE 2020 - PERIODO DE OCTUBRE  2020 -OBJETO  C.  HONORARIOS-ART No.424</t>
  </si>
  <si>
    <t>DS AUTORIZACION DE PAGO 8 CONTRATO 279 DE 2020 - PERIODO DE NOVIEBRE 2020 -OBJETO  C.  HONORARIOS-ART No.424</t>
  </si>
  <si>
    <t>DS AUTORIZACION DE PAGO 9 CONTRATO 279 DE 2020 - PERIODO DE DICIEMBRE 2020 -OBJETO  C.  HONORARIOS-ART No.424</t>
  </si>
  <si>
    <t>CONTRATO 301/2020  DAVID PEÑALOZA</t>
  </si>
  <si>
    <t>AUTORIZACION DE PAGO 1 CONTRATO 301  DE MAYO  2020 -OBJETO  C.  HONORARIOS-ART No.424</t>
  </si>
  <si>
    <t>AUTORIZACION DE PAGO 2 CONTRATO 301  DE JUNIO  2020 -OBJETO  C.  HONORARIOS-ART No.424</t>
  </si>
  <si>
    <t>AUTORIZACION DE PAGO 3 CONTRATO 301  DE JULIO  2020 -OBJETO  C.  HONORARIOS-ART No.424</t>
  </si>
  <si>
    <t>AUTORIZACION DE PAGO 4 CONTRATO 301  DE AGOSTO 2020 -OBJETO  C.  HONORARIOS-ART No.424</t>
  </si>
  <si>
    <t>AUTORIZACION DE PAGO 5 CONTRATO 301  DE SEPTIEMBRE 2020 -OBJETO  C.  HONORARIOS-ART No.424</t>
  </si>
  <si>
    <t>AUTORIZACION DE PAGO 6 CONTRATO 301  DE OCTUBRE 2020 -OBJETO  C.  HONORARIOS-ART No.424</t>
  </si>
  <si>
    <t>DS AUTORIZACION DE PAGO 7 CONTRATO 301  DE NOVIEMBRE 2020 -OBJETO  C.  HONORARIOS-ART No.424</t>
  </si>
  <si>
    <t>DS AUTORIZACION DE PAGO 8 CONTRATO 301  DE DICIEMBRE 2020 -OBJETO  C.  HONORARIOS-ART No.424</t>
  </si>
  <si>
    <t xml:space="preserve">CONTRATO 424/2019  AMEZQUITA </t>
  </si>
  <si>
    <t>AUTORIZACION DE PAGO 1 CONTRATO 424 DEL PERIODO OCTUBRE 2020 -OBJETO H.  HONORARIOS-ART No.424</t>
  </si>
  <si>
    <t>AUTORIZACION DE PAGO 2 CONTRATO 424 DEL PERIODO NOVIEMBRE  2020 -OBJETO H.  HONORARIOS-ART No.424</t>
  </si>
  <si>
    <t>AUTORIZACION DE PAGO 3 CONTRATO 424 DEL PERIODO  DICIEMBRE  2019 -OBJETO H.  HONORARIOS-ART No.424</t>
  </si>
  <si>
    <t>AUTORIZACION DE PAGO 4 CONTRATO 424 DEL PERIODO ENERO   2020 -OBJETO H.  HONORARIOS-ART No.424</t>
  </si>
  <si>
    <t>AUTORIZACION DE PAGO 5 CONTRATO 424 DEL PERIODO FEBRERO  2020 -OBJETO H.  HONORARIOS-ART No.424</t>
  </si>
  <si>
    <t>AUTORIZACION DE PAGO 6 CONTRATO 424 DEL PERIODO MARZO  2020 -OBJETO H.  HONORARIOS-ART No.424</t>
  </si>
  <si>
    <t>AUTORIZACION DE PAGO 7 CONTRATO 424 DEL PERIODO ABRIL  2020 -OBJETO H.  HONORARIOS-ART No.424</t>
  </si>
  <si>
    <t>AUTORIZACION DE PAGO 8 CONTRATO 424 DEL PERIODO MAYO  2020 -OBJETO H.  HONORARIOS-ART No.424</t>
  </si>
  <si>
    <t>AUTORIZACION DE PAGO 9 CONTRATO 424 DEL PERIODO JUNIO  2020 -OBJETO H.  HONORARIOS-ART No.424</t>
  </si>
  <si>
    <t>AUTORIZACION DE PAGO 10 CONTRATO 424 DEL PERIODO JULIO  2020 -OBJETO H.  HONORARIOS-ART No.424</t>
  </si>
  <si>
    <t>AUTORIZACION DE PAGO 11 CONTRATO 424 DEL PERIODO AGOSTO  2020 -OBJETO H.  HONORARIOS-ART No.424</t>
  </si>
  <si>
    <t>AUTORIZACION DE PAGO 12 CONTRATO 424 DEL PERIODO SEPTIEMBRE 2020 -OBJETO H.  HONORARIOS-ART No.424</t>
  </si>
  <si>
    <t>AUTORIZACION DE PAGO 13 CONTRATO 424 de 2019  DEL PERIODO DEL 01 AL 31 DE OCTUBRE 2020 -OBJETO H.  HONORARIOS-ART No.424</t>
  </si>
  <si>
    <t>AUTORIZACION DE PAGO 14 CONTRATO 424 de 2019  DEL PERIODO DEL 01 AL 30 DE NOVIEMBRE 2021 -OBJETO H.  HONORARIOS-ART No.424</t>
  </si>
  <si>
    <t>AUTORIZACION DE PAGO 15 CONTRATO 424  de 2019  DEL PERIODO DEL 01 AL 31 DE DICIEMBRE 2020 -OBJETO H.  HONORARIOS-ART No.424</t>
  </si>
  <si>
    <t>AUTORIZACION DE PAGO 16 CONTRATO 424  de 2019  DEL PERIODO DEL 01 AL 31 DE ENERO 2021 -OBJETO H.  HONORARIOS-ART No.424</t>
  </si>
  <si>
    <t>AUTORIZACION DE PAGO 17 CONTRATO 424  de 2019  DEL PERIODO DEL 01 AL 28 DE FEBRERO 2021 -OBJETO H.  HONORARIOS-ART No.424</t>
  </si>
  <si>
    <t>AUTORIZACION DE PAGO 18  VIGENCIA 2019 - PAGO 3 VIGENCIA 2021 CONTRATO 424 DEL PERIODO MARZO   2021 -OBJETO H.  HONORARIOS-ART No.424</t>
  </si>
  <si>
    <t>AUTORIZACION DE PAGO 19  VIGENCIA 2019 - PAGO 4 VIGENCIA 2021 CONTRATO 424 DEL PERIODO ABRIL  2021 -OBJETO H.  HONORARIOS-ART No.424</t>
  </si>
  <si>
    <t>AUTORIZACION DE PAGO 20  VIGENCIA 2019 - PAGO 4 VIGENCIA 2021 CONTRATO 424 DEL PERIODO MAYO  2021 -OBJETO H.  HONORARIOS-ART No.424</t>
  </si>
  <si>
    <t>AUTORIZACION DE PAGO 21 CONTRATO 424 - PAGO 6 DEL PERIODO JUNIO  2021 -OBJETO H.  HONORARIOS-ART No.424</t>
  </si>
  <si>
    <t>DS PAGO 22 contrato No 424  de 2019 del período  01 al 29 de JULIO 2021, OBJETO H.  HONORARIOS-ART No.424</t>
  </si>
  <si>
    <t xml:space="preserve">CONTRATO 302/2020  LUIS GABRIEL ARBELAEZ </t>
  </si>
  <si>
    <t>AUTORIZACION DE PAGO 1 CONTRATO 302 DEL PERIODO MAYO  2020 -OBJETO H.  HONORARIOS-ART No.424</t>
  </si>
  <si>
    <t>AUTORIZACION DE PAGO 2 CONTRATO 302 DEL PERIODO JUNIO  2020 -OBJETO H.  HONORARIOS-ART No.424</t>
  </si>
  <si>
    <t>PAGO 3 CONTRATO 302 DEL PERIODO JULIO  2020 -OBJETO H.  HONORARIOS-ART No.424</t>
  </si>
  <si>
    <t>PAGO 3 CONTRATO 302 DEL PERIODO AGOSTO  2020 -OBJETO H.  HONORARIOS-ART No.424</t>
  </si>
  <si>
    <t>PAGO 5 CONTRATO 302 DEL PERIODO SEPTIEMBRE  2020 -OBJETO H.  HONORARIOS-ART No.424</t>
  </si>
  <si>
    <t>DS PAGO 6 CONTRATO 302 DEL PERIODO OCTUBRE  2020 -OBJETO H.  HONORARIOS-ART No.424</t>
  </si>
  <si>
    <t>DS PAGO 7 CONTRATO 302 DEL PERIODO NOVIEMBRE  2020 -OBJETO H.  HONORARIOS-ART No.424</t>
  </si>
  <si>
    <t>DS PAGO 8 CONTRATO 302 DEL PERIODO DICIEMBRE 2020 -OBJETO H.  HONORARIOS-ART No.424</t>
  </si>
  <si>
    <t>CONTRATO 296/2020  LUIS ALBERTO MORENO</t>
  </si>
  <si>
    <t>PAGO 01 DE HONORARIOS DEL  CONTRATO 296 DE 2020 - PERIODO DE MAYO DEL 2020 - OBJETO C HONORARIOS ART.424</t>
  </si>
  <si>
    <t>PAGO 02 DE HONORARIOS DEL  CONTRATO 296 DE 2020 - PERIODO DE JUNIO DEL 2020 - OBJETO C HONORARIOS ART.424</t>
  </si>
  <si>
    <t>PAGO 03 DE HONORARIOS DEL  CONTRATO 296 DE 2020 - PERIODO DE JULIO DEL 2020 - OBJETO C HONORARIOS ART.424</t>
  </si>
  <si>
    <t>PAGO 04 DE HONORARIOS DEL  CONTRATO 296 DE 2020 - PERIODO DE AGOSTO DEL 2020 - OBJETO C HONORARIOS ART.424</t>
  </si>
  <si>
    <t>PAGO 05 DE HONORARIOS DEL  CONTRATO 296 DE 2020 - PERIODO DE SEPTIEMBRE DEL 2020 - OBJETO C HONORARIOS ART.424</t>
  </si>
  <si>
    <t>PAGO 06 DE HONORARIOS DEL  CONTRATO 296 DE 2020 - PERIODO DE OCTUBRE DEL 2020 - OBJETO C HONORARIOS ART.424</t>
  </si>
  <si>
    <t>DS PAGO 07 DE HONORARIOS DEL  CONTRATO 296 DE 2020 - PERIODO DE NOVIEMBRE DEL 2020 - OBJETO C HONORARIOS ART.424</t>
  </si>
  <si>
    <t>DS PAGO 08 DE HONORARIOS DEL  CONTRATO 296 DE 2020 - PERIODO DE DICIEMBRE DEL 2020 - OBJETO C HONORARIOS ART.424</t>
  </si>
  <si>
    <t>CONTRATO 300/2020  BETTY ESPERANZA HERRERA GARCIA</t>
  </si>
  <si>
    <t>PAGO 01 DE HONORARIOS DEL  CONTRATO 300 DE 2020 - PERIODO DE MAYO DEL 2020 - OBJETO C HONORARIOS ART.424</t>
  </si>
  <si>
    <t>PAGO 02 DE HONORARIOS DEL  CONTRATO 300 DE 2020 - PERIODO DE JUNIO DEL 2020 - OBJETO C HONORARIOS ART.424</t>
  </si>
  <si>
    <t>PAGO 03 DE HONORARIOS DEL  CONTRATO 300 DE 2020 - PERIODO DE JULIO DEL 2020 - OBJETO C HONORARIOS ART.424</t>
  </si>
  <si>
    <t>PAGO 04 DE HONORARIOS DEL  CONTRATO 300 DE 2020 - PERIODO DE AGOSTO DEL 2020 - OBJETO C HONORARIOS ART.424</t>
  </si>
  <si>
    <t>PAGO 05 DE HONORARIOS DEL  CONTRATO 300 DE 2020 - PERIODO DE SEPTIEMBRE DEL 2020 - OBJETO C HONORARIOS ART.424</t>
  </si>
  <si>
    <t>PAGO 06 DE HONORARIOS DEL  CONTRATO 300 DE 2020 - PERIODO DE OCTUBRE DEL 2020 - OBJETO C HONORARIOS ART.424</t>
  </si>
  <si>
    <t>DS PAGO 07 DE HONORARIOS DEL  CONTRATO 300 DE 2020 - PERIODO DE NOVIEMBRE DEL 2020 - OBJETO C HONORARIOS ART.424</t>
  </si>
  <si>
    <t>DS PAGO 08 DE HONORARIOS DEL  CONTRATO 300 DE 2020 - PERIODO DE DICIEMBRE DEL 2020 - OBJETO C HONORARIOS ART.424</t>
  </si>
  <si>
    <t>CONTRATO 311/2020  BLEIDY PEREZ</t>
  </si>
  <si>
    <t>AUTORIZACION DE  PAGO 01 DEL CONTRATO 311 DE 2020 - PERIODO DE JUNIO  DE 2020 OBJETO G .- HONORARIOS-ART.424</t>
  </si>
  <si>
    <t>PAGO 2 DEL CONTRATO 311 DE 2020 - PERIODO DE JULIO  DE 2020 OBJETO G .- HONORARIOS-ART.424</t>
  </si>
  <si>
    <t>PAGO 4 DEL CONTRATO 311 DE 2020 - PERIODO DE SEPTIEMBRE   DE 2020 OBJETO G .- HONORARIOS-ART.424</t>
  </si>
  <si>
    <t>DS PAGO 5 DEL CONTRATO 311 DE 2020 - PERIODO DE OCTUBRE   DE 2020 OBJETO G .- HONORARIOS-ART.424</t>
  </si>
  <si>
    <t>DS PAGO 6 DEL CONTRATO 311 DE 2020 - PERIODO DE NOVIEMBRE   DE 2020 OBJETO G .- HONORARIOS-ART.424</t>
  </si>
  <si>
    <t>DS PAGO 7 DEL CONTRATO 311 DE 2020 - PERIODO DE DICIEMBRE   DE 2020 OBJETO G .- HONORARIOS-ART.424</t>
  </si>
  <si>
    <t>CTO 259/2020</t>
  </si>
  <si>
    <t xml:space="preserve">CONTRATO 259/2020   CONSORCIO INTERVENTORIA INTEGRAL </t>
  </si>
  <si>
    <t>PAGO 01 DE HONORARIOS DEL  CONTRATO 259 DE 2020 - PERIODO DE MARZO DEL 2020 - OBJETO E HONORARIOS ART.424</t>
  </si>
  <si>
    <t>PAGO 02 DE HONORARIOS DEL  CONTRATO 259 DE 2020 - PERIODO DE ABRIL  DEL 2020 - OBJETO E HONORARIOS ART.424</t>
  </si>
  <si>
    <t>PAGO 03 DE HONORARIOS DEL  CONTRATO 259 DE 2020 - PERIODO DE MAYO  DEL 2020 - OBJETO E HONORARIOS ART.424</t>
  </si>
  <si>
    <t>PAGO 04 DE HONORARIOS DEL  CONTRATO 259 DE 2020 - PERIODO DE JUNIO  DEL 2020 - OBJETO E HONORARIOS ART.424</t>
  </si>
  <si>
    <t>PAGO 05  DE HONORARIOS DEL  CONTRATO 259 DE 2020 - PERIODO DE JULIO  DEL 2020 - OBJETO E HONORARIOS ART.424</t>
  </si>
  <si>
    <t>PAGO 05  DE HONORARIOS DEL  CONTRATO 259 DE 2020 -Agosto  DEL 2020 - OBJETO E HONORARIOS ART.424 Pago 6</t>
  </si>
  <si>
    <t>PAGO 07  DE HONORARIOS DEL  CONTRATO 259 DE 2020 - PERIODO DE SEPTIEMBRE  DEL 2020 - OBJETO E HONORARIOS ART.424</t>
  </si>
  <si>
    <t>PAGO 08  DE HONORARIOS DEL  CONTRATO 259 DE 2020 - PERIODO DE 1 AL 31 DE OCTUBRE DEL 2020 - OBJETO E HONORARIOS ART.424</t>
  </si>
  <si>
    <t>PAGO 09  DE HONORARIOS DEL CONTRATO 259 DE 2020 - PERIODO DE 1 AL 30 DE NOVIEMBRE DEL 2020 - OBJETO E HONORARIOS ART.424</t>
  </si>
  <si>
    <t>PAGO 10  DE HONORARIOS DEL CONTRATO 259 DE 2020 - PERIODO DE 1 AL 31 DE DICIEMBRE DEL 2020 - OBJETO E HONORARIOS ART.424</t>
  </si>
  <si>
    <t>PAGO 11  DE HONORARIOS DEL CONTRATO 259 DE 2020 - PERIODO DE 1 AL 31 DE ENERO DEL 2021 - OBJETO E HONORARIOS ART.424</t>
  </si>
  <si>
    <t>PAGO 12  DE HONORARIOS DEL CONTRATO 259 DE 2020 - PERIODO DE 1 AL 28 DE FEBRERO DEL 2021 - OBJETO E HONORARIOS ART.424</t>
  </si>
  <si>
    <t>PAGO 13  DE HONORARIOS DEL CONTRATO 259 DE 2020 - PERIODO DE 1 AL 31 DE MARZO DEL 2021 - OBJETO E HONORARIOS ART.424</t>
  </si>
  <si>
    <t>PAGO 14  DE HONORARIOS DEL CONTRATO 259 DE 2020 - PERIODO DE 1 AL 30 DE ABRIL DEL 2021 - OBJETO E HONORARIOS ART.424</t>
  </si>
  <si>
    <t>PAGO 15  DE HONORARIOS DEL CONTRATO 259 DE 2020 - PERIODO DE 1 AL 31 DE MAYO DEL 2021 - OBJETO E HONORARIOS ART.424</t>
  </si>
  <si>
    <t>PAGO 16  DE HONORARIOS DEL  CONTRATO 259 DE 2020 - PERIODO DE 1 AL 30 DE JUNIO DEL 2020 - OBJETO E HONORARIOS ART.424</t>
  </si>
  <si>
    <t>PAGO 17  DE HONORARIOS DEL  CONTRATO 259 DE 2020 - PERIODO DE 1 AL 31 DE JULIO DEL 2020 - OBJETO E HONORARIOS ART.424</t>
  </si>
  <si>
    <t>PAGO 18  DE HONORARIOS DEL CONTRATO 259 DE 2020 - PERIODO DE 1 AL 31 DEAGOSTO DEL 2021 - OBJETO E HONORARIOS ART.424</t>
  </si>
  <si>
    <t>PAGO 19  DE HONORARIOS DEL CONTRATO 259 DE 2020 - PERIODO DE 1 AL 30 DE SEPTIEMBRE  DEL 2021 - OBJETO E HONORARIOS ART.424</t>
  </si>
  <si>
    <t>PAGO 20  DE HONORARIOS DEL CONTRATO 259 DE 2020 - PERIODO DE 1 AL 31 DE OCTUBRE  DEL 2021 - OBJETO E HONORARIOS ART.424</t>
  </si>
  <si>
    <t>PAGO 21 DE HONORARIOS DEL CONTRATO 259 DE 2020 - PERIODO DE 1 AL 30 DE NOVIEMBRE  DEL 2021 - OBJETO E HONORARIOS ART.424</t>
  </si>
  <si>
    <t>CONTRATO 278/2020   NELLY MOSQUERA</t>
  </si>
  <si>
    <t>AUTORIZACION DE PAGO 1 CONTRATO 278  DEL PERIODO ABRIL 2020 -OBJETO A.  HONORARIOS-ART No.424</t>
  </si>
  <si>
    <t>AUTORIZACION DE PAGO 2 CONTRATO 278  DEL PERIODO MAYO 2020 -OBJETO A.  HONORARIOS-ART No.424</t>
  </si>
  <si>
    <t>AUTORIZACION DE PAGO 3 CONTRATO 278  DEL PERIODO JUNIO 2020 -OBJETO A.  HONORARIOS-ART No.424</t>
  </si>
  <si>
    <t>AUTORIZACION DE PAGO 4 CONTRATO 278  DEL PERIODO JULIO 2020 -OBJETO A.  HONORARIOS-ART No.424</t>
  </si>
  <si>
    <t>AUTORIZACION DE PAGO 5 CONTRATO 278  DEL PERIODO  DEL 01 AL 6 AGOSTO 2020 -OBJETO A.  HONORARIOS-ART No.424</t>
  </si>
  <si>
    <t>CONTRATO 303/2020  EDGAR ANDRES GOMEZ</t>
  </si>
  <si>
    <t>AUTORIZACION DE PAGO 1 CONTRATO 303 DE 2020 - PERIODO DE JUNIO DE 2020  - OBJETO C HONORARIOS ART.424</t>
  </si>
  <si>
    <t>AUTORIZACION DE PAGO 2 CONTRATO 303 DE 2020 - PERIODO DE JULIO DE 2020  - OBJETO C HONORARIOS ART.424</t>
  </si>
  <si>
    <t>AUTORIZACION DE PAGO 3 CONTRATO 303 DE 2020 - PERIODO DE AGOSTO DE 2020  - OBJETO C HONORARIOS ART.424</t>
  </si>
  <si>
    <t>AUTORIZACION DE PAGO 4 CONTRATO 303 DE 2020 - PERIODO DE SEPTIEMBRE DE 2020  - OBJETO C HONORARIOS ART.424</t>
  </si>
  <si>
    <t>DS AUTORIZACION DE PAGO 5 CONTRATO 303 DE 2020 - PERIODO DE OCTUBRE DE 2020  - OBJETO C HONORARIOS ART.424</t>
  </si>
  <si>
    <t>DS AUTORIZACION DE PAGO 6 CONTRATO 303 DE 2020 - PERIODO DE NOVIEMBRE DE 2020  - OBJETO C HONORARIOS ART.424</t>
  </si>
  <si>
    <t>DS AUTORIZACION DE PAGO 7 CONTRATO 303 DE 2020 - PERIODO DE DICIEMBRE DE 2020  - OBJETO C HONORARIOS ART.424</t>
  </si>
  <si>
    <t>CONTRATO 332/2020 LEONARDO PLAZAS</t>
  </si>
  <si>
    <t>AUTORIZACION DE PAGO 1 CONTRATO 332  DEL PERIODO DE JULIO 2020 -LINEA H.  HONORARIOS-ART No.424</t>
  </si>
  <si>
    <t>AUTORIZACION DE PAGO 2 CONTRATO 332  DEL PERIODO DE AGOSTO 2020 -LINEA H.  HONORARIOS-ART No.424</t>
  </si>
  <si>
    <t>AUTORIZACION DE PAGO 3 CONTRATO 332  DEL PERIODO DE SEPTIEMBRE 2020 -OBJETO H.  HONORARIOS-ART No.424</t>
  </si>
  <si>
    <t>AUTORIZACION DE PAGO 4 CONTRATO 332  DEL PERIODO DE OCTUBRE 2020 -OBJETO H.  HONORARIOS-ART No.424</t>
  </si>
  <si>
    <t>DS AUTORIZACION DE PAGO 5 CONTRATO 332  DEL PERIODO DE NOVIEMBRE 2020 -OBJETO H.  HONORARIOS-ART No.424</t>
  </si>
  <si>
    <t>DS AUTORIZACION DE PAGO 6 CONTRATO 332  DEL PERIODO DE DICIEMBRE 2020 -OBJETO H.  HONORARIOS-ART No.424</t>
  </si>
  <si>
    <t>CONTRATO 333/2020 JONEDER OSPINA</t>
  </si>
  <si>
    <t>AUTORIZACION DE PAGO 1 CONTRATO 333 DE 2020 - PERIODO DE JULIO DE 2020  - OBJETO E HONORARIOS ART.424</t>
  </si>
  <si>
    <t>AUTORIZACION DE PAGO 2 CONTRATO 333 DE 2020 - PERIODO DE AGOSTO DE 2020  - OBJETO E HONORARIOS ART.424</t>
  </si>
  <si>
    <t>AUTORIZACION DE PAGO 3 CONTRATO 333 DE 2020 - PERIODO DE SEPTIEMBRE DE 2020  - OBJETO E HONORARIOS ART.424</t>
  </si>
  <si>
    <t>DS AUTORIZACION DE PAGO 4 CONTRATO 333 DE 2020 - PERIODO DE OCTUBRE DE 2020  - OBJETO E HONORARIOS ART.424</t>
  </si>
  <si>
    <t>DS AUTORIZACION DE PAGO 5 CONTRATO 333 DE 2020 - PERIODO DE NOVIEMBRE  DE 2020  - OBJETO E HONORARIOS ART.424</t>
  </si>
  <si>
    <t>DS AUTORIZACION DE PAGO 6 CONTRATO 333 DE 2020 - PERIODO DE DICIEMBRE DE 2020  - OBJETO E HONORARIOS ART.424</t>
  </si>
  <si>
    <t>CONTRATO 354/2020 LEIDY YURANY ALEY PAYA</t>
  </si>
  <si>
    <t>AUTORIZACION DE PAGO 1 CONTRATO 354 DE 2020 - PERIODO DE JULIO DE 2020  - OBJETO H HONORARIOS ART.424</t>
  </si>
  <si>
    <t>AUTORIZACION DE PAGO 2 CONTRATO 354 DE 2020 - PERIODO DE AGOSTO DE 2020  - OBJETO H HONORARIOS ART.424</t>
  </si>
  <si>
    <t>AUTORIZACION DE PAGO 3 CONTRATO 354 DE 2020 - PERIODO DE SEPTIEMBRE  DE 2020  - OBJETO H HONORARIOS ART.424</t>
  </si>
  <si>
    <t>DS AUTORIZACION DE PAGO 4 CONTRATO 354 DE 2020 - PERIODO DE OCTUBRE  DE 2020  - OBJETO H HONORARIOS ART.424</t>
  </si>
  <si>
    <t>DS AUTORIZACION DE PAGO 5 CONTRATO 354 DE 2020 - PERIODO DE NOVIEMBRE  DE 2020  - OBJETO H HONORARIOS ART.424</t>
  </si>
  <si>
    <t>DS AUTORIZACION DE PAGO 6 CONTRATO 354 DE 2020 - PERIODO DE DICIEMBRE  DE 2020  - OBJETO H HONORARIOS ART.424</t>
  </si>
  <si>
    <t xml:space="preserve">CONTRATO 340/2020  VICTOR MUÑOZ </t>
  </si>
  <si>
    <t>PAGO 1 DE HONORARIOS DEL  CONTRATO 340  DE 2020 - PERIODO DE JULIO DE 2020 - OBJETO -E</t>
  </si>
  <si>
    <t>PAGO 2 DE HONORARIOS DEL  CONTRATO 340  DE 2020 - PERIODO DE AGOSTO  DE 2020 -</t>
  </si>
  <si>
    <t>PAGO 3 DE HONORARIOS DEL  CONTRATO 340  DE 2020 - PERIODO DE  SEPTIEMBRE DE 2020 - OBJETO -E</t>
  </si>
  <si>
    <t>DS PAGO 4 DE HONORARIOS DEL  CONTRATO 340  DE 2020 - PERIODO DE OCTUBRE DE 2020 - OBJETO -E</t>
  </si>
  <si>
    <t>DS PAGO 5 DE HONORARIOS DEL  CONTRATO 340  DE 2020 - PERIODO DE NOVIEMBRE DE 2020 - OBJETO -E</t>
  </si>
  <si>
    <t>DS PAGO 6 DE HONORARIOS DEL  CONTRATO 340  DE 2020 - PERIODO DE DICIEMBRE DE 2020 - OBJETO -E</t>
  </si>
  <si>
    <t>CONTRATO 324/2020 STEPHANIA  BALLESTEROS ZABALA</t>
  </si>
  <si>
    <t>AUTORIZACION DE PAGO 1 CONTRATO 324  DE JULIO  2020 -OBJETO  C.  HONORARIOS-ART No.424</t>
  </si>
  <si>
    <t>AUTORIZACION DE PAGO 2 CONTRATO 324  DE AGOSTO  2020 -OBJETO  C.  HONORARIOS-ART No.424</t>
  </si>
  <si>
    <t>AUTORIZACION DE PAGO 3 CONTRATO 324  DE SEPTIEMBRE  2020 -OBJETO  C.  HONORARIOS-ART No.424</t>
  </si>
  <si>
    <t>saLDO LIBERADO</t>
  </si>
  <si>
    <t>CONTRATO 364/2020 GUSTAVO ADOLFO CORTES MOSQUERA</t>
  </si>
  <si>
    <t>AUTORIZACION DE PAGO 1 CONTRATO 364 DE 2020 - PERIODO DE JULIO DE 2020  - OBJETO G HONORARIOS ART.424</t>
  </si>
  <si>
    <t>AUTORIZACION DE PAGO 2 CONTRATO 364 DE 2020 - PERIODO DE AGOSTO DE 2020  - OBJETO G HONORARIOS ART.424</t>
  </si>
  <si>
    <t>AUTORIZACION DE PAGO 3 CONTRATO 364 DE 2020 - PERIODO DE SEPTIEMBRE DE 2020  - OBJETO G HONORARIOS ART.424</t>
  </si>
  <si>
    <t>DS AUTORIZACION DE PAGO 4 CONTRATO 364 DE 2020 - PERIODO DE OCTUBRE DE 2020  - OBJETO G HONORARIOS ART.424</t>
  </si>
  <si>
    <t>DS AUTORIZACION DE PAGO 5 CONTRATO 364 DE 2020 - PERIODO DE NOVIEMBRE DE 2020  - OBJETO G HONORARIOS ART.424</t>
  </si>
  <si>
    <t>DS AUTORIZACION DE PAGO 6 CONTRATO 364 DE 2020 - PERIODO DE DICIEMBRE DE 2020  - OBJETO G HONORARIOS ART.424</t>
  </si>
  <si>
    <t>CONTRATO 365/2020 RIGOBERTO OLIVELLA</t>
  </si>
  <si>
    <t>PAGO 1 DE HONORARIOS DEL  CONTRATO 365  DE 2020 - PERIODO DE JULIO DE 2020 - OBJETO -G</t>
  </si>
  <si>
    <t>PAGO 2 DE HONORARIOS DEL  CONTRATO 365  DE 2020 - PERIODO DE AGOSTO DE 2020 - OBJETO -G</t>
  </si>
  <si>
    <t>PAGO 3 DE HONORARIOS DEL  CONTRATO 365  DE 2020 - PERIODO DE SEPTIEMBRE DE 2020 - OBJETO -G</t>
  </si>
  <si>
    <t>DS PAGO 4 DE HONORARIOS DEL  CONTRATO 365  DE 2020 - PERIODO DE OCTUBRE DE 2020 - OBJETO -G</t>
  </si>
  <si>
    <t>DS PAGO 5 DE HONORARIOS DEL  CONTRATO 365  DE 2020 - PERIODO DE NOVIEMBRE DE 2020 - OBJETO -G</t>
  </si>
  <si>
    <t>DS PAGO 6 DE HONORARIOS DEL CONTRATO 365  DE 2020 - PERIODO DE DICIEMBRE DE 2020 - OBJETO -G</t>
  </si>
  <si>
    <t xml:space="preserve">CONTRATO 289/2020 CLAUDIA LADINO </t>
  </si>
  <si>
    <t>PAGO 1 DE HONORARIOS DEL  CONTRATO 289  DE 2020 - PERIODO DE ABRIL  DEL 2020 - OBJETO E HONORARIOS ART.424</t>
  </si>
  <si>
    <t>PAGO 2 DE HONORARIOS DEL  CONTRATO 289  DE 2020 - PERIODO DE MAYO  DEL 2020 - OBJETO E HONORARIOS ART.424</t>
  </si>
  <si>
    <t>PAGO 3 DE HONORARIOS DEL  CONTRATO 289  DE 2020 - PERIODO DE JUNIO  DEL 2020 - OBJETO E HONORARIOS ART.424</t>
  </si>
  <si>
    <t>PAGO 4 DE HONORARIOS DEL  CONTRATO 289  DE 2020 - PERIODO DE JULIO  DEL 2020 - OBJETO E HONORARIOS ART.424</t>
  </si>
  <si>
    <t>PAGO 5 DE HONORARIOS DEL  CONTRATO 289  DE 2020 - PERIODO DE AGOSTO  DEL 2020 - OBJETO E HONORARIOS ART.424</t>
  </si>
  <si>
    <t>PAGO 6 DE HONORARIOS DEL  CONTRATO 289  DE 2020 - PERIODO DE SEPTIEMBRE  DEL 2020 - OBJETO E HONORARIOS ART.424</t>
  </si>
  <si>
    <t>PAGO 7 DE HONORARIOS DEL  CONTRATO 289  DE 2020 - PERIODO DE OCTUBRE  DEL 2020 - OBJETO E HONORARIOS ART.424</t>
  </si>
  <si>
    <t>DS PAGO 8 DE HONORARIOS DEL  CONTRATO 289  DE 2020 - PERIODO DE NOVIEMBRE  DEL 2020 - OBJETO E HONORARIOS ART.424</t>
  </si>
  <si>
    <t>DS PAGO 9 DE HONORARIOS DEL  CONTRATO 289  DE 2020 - PERIODO DE DICIEMBRE  DEL 2020 - OBJETO E HONORARIOS ART.424</t>
  </si>
  <si>
    <t xml:space="preserve">CONTRATO 357/2020  YUDI MINA </t>
  </si>
  <si>
    <t>PAGO 01 CONTRATO 357   DE 2020 - PERIODO DE JULIO  DEL 2020 - OBJETO H HONORARIOS ART.424</t>
  </si>
  <si>
    <t>PAGO 02 CONTRATO 357   DE 2020 - PERIODO DE AGOSTO   DEL 2020 - OBJETO H HONORARIOS ART.424</t>
  </si>
  <si>
    <t>PAGO 03 CONTRATO 357   DE 2020 - PERIODO DE SEPTIEMBRE   DEL 2020 - OBJETO H HONORARIOS ART.424</t>
  </si>
  <si>
    <t>DS PAGO 04 CONTRATO 357   DE 2020 - PERIODO DE OCTUBRE DEL 2020 - OBJETO H HONORARIOS ART.424</t>
  </si>
  <si>
    <t>DS PAGO 05 CONTRATO 357   DE 2020 - PERIODO DE NOVIEMBRE DEL 2020 - OBJETO H HONORARIOS ART.424</t>
  </si>
  <si>
    <t>DS PAGO 06 CONTRATO 357 DE 2020 - PERIODO DE DICIEMBRE DEL 2020 - OBJETO H HONORARIOS ART.424</t>
  </si>
  <si>
    <t xml:space="preserve">CONTRATO 385/2020  LUZ MYRIAM PUENTES </t>
  </si>
  <si>
    <t>PAGO 01 CONTRATO 385   DE 2020 - PERIODO DE  AGOSTO  DEL 2020 - OBJETO C HONORARIOS ART.424</t>
  </si>
  <si>
    <t>9410417038 Y 9409944893</t>
  </si>
  <si>
    <t>PAGO 02 CONTRATO 385   DE 2020 - PERIODO DE  SEPTIEMBRE  DEL 2020 - OBJETO C HONORARIOS ART.424</t>
  </si>
  <si>
    <t>DS PAGO 03 CONTRATO 385   DE 2020 - PERIODO DE  OCTUBRE  DEL 2020 - OBJETO C HONORARIOS ART.424</t>
  </si>
  <si>
    <t>DS PAGO 04 CONTRATO 385   DE 2020 - PERIODO DE  NOVIEMBRE  DEL 2020 - OBJETO C HONORARIOS ART.424</t>
  </si>
  <si>
    <t>DS PAGO 05 CONTRATO 385 DE 2020 - PERIODO DE DICIEMBRE DEL 2020 - OBJETO C HONORARIOS ART.424</t>
  </si>
  <si>
    <t>CONTRATO 396/2020  LAURA BORREGO SANCHEZ</t>
  </si>
  <si>
    <t>PAGO 01 DE HONORARIOS DEL  CONTRATO 396 DE 2020 - PERIODO SEPTIEMBRE DEL 2020 - OBJETO A HONORARIOS ART.424</t>
  </si>
  <si>
    <t>DS PAGO 02 DE HONORARIOS DEL  CONTRATO 396 DE 2020 - PERIODO OCTUBRE DEL 2020 - OBJETO A HONORARIOS ART.424</t>
  </si>
  <si>
    <t>DS PAGO 03 DE HONORARIOS DEL  CONTRATO 396 DE 2020 - PERIODO NOVIEMBRE  DEL 2020 - OBJETO A HONORARIOS ART.424</t>
  </si>
  <si>
    <t>DS PAGO 04 DE HONORARIOS DEL CONTRATO 396 DE 2020 - PERIODO DICIEMBRE DEL 2020 - OBJETO A HONORARIOS ART.424</t>
  </si>
  <si>
    <t>CONTRATO 401/2020  GRISELDA USECHE</t>
  </si>
  <si>
    <t>AUTORIZACION DE PAGO 1 CONTRATO 401 DEL PERIODO SEPTIMBRE 2020 -OBJETO H - HONORARIOS-ART No.424</t>
  </si>
  <si>
    <t>DS AUTORIZACION DE PAGO 2 CONTRATO 401 DEL PERIODO OCTUBRE 2020 -OBJETO H - HONORARIOS-ART No.424</t>
  </si>
  <si>
    <t>DS AUTORIZACION DE PAGO 3 CONTRATO 401 DEL PERIODO NOVIEMBRE 2020 -OBJETO H - HONORARIOS-ART No.424</t>
  </si>
  <si>
    <t>DS AUTORIZACION DE PAGO 4 CONTRATO 401 DEL PERIODO DICIEMBRE 2020 -OBJETO H - HONORARIOS-ART No.424</t>
  </si>
  <si>
    <t>CONTRATO 407/2020  JOSE DEL CRISTO RAMIREZ</t>
  </si>
  <si>
    <t>PAGO 1 DE HONORARIOS DEL  CONTRATO 407  DE 2020 - PERIODO DE SEPTIEMBRE  DEL 2020 - OBJETO G- HONORARIOS ART.424</t>
  </si>
  <si>
    <t>DS PAGO 2 DE HONORARIOS DEL  CONTRATO 407  DE 2020 - PERIODO DE OCTUBRE  DEL 2020 - OBJETO G- HONORARIOS ART.424</t>
  </si>
  <si>
    <t>8819199080 y 1033400730</t>
  </si>
  <si>
    <t>DS PAGO 3 DE HONORARIOS DEL  CONTRATO 407  DE 2020 - PERIODO DE NOVIEMBRE  DEL 2020 - OBJETO G- HONORARIOS ART.424</t>
  </si>
  <si>
    <t>DS PAGO 4 DE HONORARIOS DEL  CONTRATO 407  DE 2020 - PERIODO DE DICIEMBRE DEL 2020 - OBJETO G- HONORARIOS ART.424</t>
  </si>
  <si>
    <t>CONTRATO 429/2020  WILLIAM ALFREDO SALEME MARTINEZ</t>
  </si>
  <si>
    <t>PAGO 1 DE HONORARIOS DEL  CONTRATO 429  DE 2020 - CORRESPONDIENTE AL PERIODO DE OCTUBRE DE 2020 - OBJETO G- HONORARIOS ART.424</t>
  </si>
  <si>
    <t>DS PAGO 2 DE HONORARIOS DEL  CONTRATO 429  DE 2020 - CORRESPONDIENTE AL PERIODO DE NOVIEMBRE DE 2020 - OBJETO G- HONORARIOS ART.424</t>
  </si>
  <si>
    <t>DS PAGO 3 DE HONORARIOS DEL  CONTRATO 429  DE 2020 - PERIODO DE CICIEMBRE DE 2020 - OBJETO G- HONORARIOS ART.424</t>
  </si>
  <si>
    <t xml:space="preserve">CONTRATO 430/2020  LUZ ANGELA GONZALEZ MOLANO </t>
  </si>
  <si>
    <t>DS PAGO 1 CONTRATO 430 DE 2020  DEL PERIODO OCTUBRE 2020 -OBJETO- H.  HONORARIOS-ART No.424</t>
  </si>
  <si>
    <t>DS PAGO 2 CONTRATO 430 DE 2020  DEL PERIODO NOVIEMBRE 2020 -OBJETO- H.  HONORARIOS-ART No.424</t>
  </si>
  <si>
    <t>DS PAGO 3 CONTRATO 430 DE 2020  DEL PERIODO DICIEMBRE 2020 -OBJETO- H.  HONORARIOS-ART No.424</t>
  </si>
  <si>
    <t>CONTRATO 255/2020  CORPORACIÓN AGENCIA NACIONAL DE GOBIERNO</t>
  </si>
  <si>
    <t>PAGO 1 DE HONORARIOS DEL  CONTRATO 255  DE 2020 - CORRESPONDIENTE AL 20% DEL CONTRATO - OBJETO E- HONORARIOS ART.424</t>
  </si>
  <si>
    <t>PAGO 2 DE HONORARIOS DEL  CONTRATO 255  DE 2020 - CORRESPONDIENTE AL 20% DEL CONTRATO - OBJETO E- HONORARIOS ART.424</t>
  </si>
  <si>
    <t>certificacion de parafiscales por revisor fiscal</t>
  </si>
  <si>
    <t>DS PAGO 03 CONTRATO 255 DE 2020 - 30 % DEL APORTE DEL FRL - OBJETO H HONORARIOS ART.424</t>
  </si>
  <si>
    <t>CONTRATO 436/2020  DIANA MARIA GOMEZ ORTIZ</t>
  </si>
  <si>
    <t>DS PAGO 1 DE HONORARIOS DEL  CONTRATO 436  DE 2020 - PERIODO DE OCTUBRE  DEL 2020 - OBJETO G- HONORARIOS ART.424</t>
  </si>
  <si>
    <t>DS PAGO 2 DE HONORARIOS DEL  CONTRATO 436  DE 2020 - PERIODO DE NOVIEMBRE DEL 2020 - OBJETO G- HONORARIOS ART.424</t>
  </si>
  <si>
    <t>DS PAGO 3 DE HONORARIOS DEL  CONTRATO 436  DE 2020 - PERIODO DE DICIEMBRE DEL 2020 - OBJETO G- HONORARIOS ART.424</t>
  </si>
  <si>
    <t xml:space="preserve">CONTRATO 404/2020  MARIA CLAUDIA DIAZ ESPAÑA </t>
  </si>
  <si>
    <t>PAGO 01 DE HONORARIOS DEL  CONTRATO 404 DE 2020 - PERIODO DE SEPTIEMBRE DEL 2020 - OBJETO A HONORARIOS ART.424</t>
  </si>
  <si>
    <t>PAGO 02 DE HONORARIOS CONTRATO 404 DE 2020 - PERIODO DE OCTUBRE DEL 2020 - OBJETO A HONORARIOS ART.424</t>
  </si>
  <si>
    <t>PAGO 03 DE HONORARIOS CONTRATO 404 DE 2020 - PERIODO DE NOVIEMBRE DEL 2020 - OBJETO A HONORARIOS ART.424</t>
  </si>
  <si>
    <t>DS PAGO 04 DE HONORARIOS CONTRATO 404 DE 2020 - PERIODO DE DICIEMBRE DEL 2020 - OBJETO A HONORARIOS ART.424</t>
  </si>
  <si>
    <t xml:space="preserve">CONTRATO 389/2020  FUNDACION NUEVO HORIZONTE </t>
  </si>
  <si>
    <t>PAGO 1 DE HONORARIOS AL CONVENIO 389  DE 2020 - CORRESPONDIENTE AL 20% VALOR AL APORTE DEL FRL DEL CONTRATO - OBJETO A - F- HONORARIOS ART.424</t>
  </si>
  <si>
    <t>PAGO 2 DE HONORARIOS AL CONVENIO 389 DE 2020 - CORRESPONDIENTE AL 40% VALOR AL APORTE DEL FRL DEL CONTRATO - OBJETO A - F- HONORARIOS ART.424</t>
  </si>
  <si>
    <t>PAGO 3 DE HONORARIOS AL CONVENIO 389 DE 2020 - CORRESPONDIENTE AL 40% VALOR AL APORTE DEL FRL DEL CONTRATO - OBJETO A - F- HONORARIOS ART.424</t>
  </si>
  <si>
    <t>CONTRATO 426/2020 JESUS ANTONIO MORENO CUARAN</t>
  </si>
  <si>
    <t>DS AUTORIZACION DE PAGO 1 CONTRATO 426 DE 2020 - PERIODO DE OCTUBRE DE 2020  - OBJETO G HONORARIOS ART.424</t>
  </si>
  <si>
    <t>DS AUTORIZACION DE PAGO 2 CONTRATO 426 DE 2020 - PERIODO DE NOVIEMBRE DE 2020  - OBJETO G HONORARIOS ART.424</t>
  </si>
  <si>
    <t>DS AUTORIZACION DE PAGO 3 CONTRATO 426 DE 2020 - PERIODO DE DICIEMBRE DE 2020  - OBJETO G HONORARIOS ART.424</t>
  </si>
  <si>
    <t>CONTRATO 458/2020 PABLO ARISTÓBULO SIERRA LEÓN</t>
  </si>
  <si>
    <t>DS AUTORIZACION DE PAGO 1 CONTRATO 458 DE 2020 - PERIODO DE 06 AL 30 NOVIEBRE 2020 -OBJETO  H.  HONORARIOS-ART No.424</t>
  </si>
  <si>
    <t>DS AUTORIZACION DE PAGO 2 CONTRATO 458 DE 2020 - PERIODO DE DICIEMBRE 2020 -OBJETO  H.  HONORARIOS-ART No.424</t>
  </si>
  <si>
    <t>CONTRATO 405/2020 SOLER ARIAS SATURNINO</t>
  </si>
  <si>
    <t>DS AUTORIZACION DE PAGO 01 CONTRATO 405  DEL PERIODO 21 AL 30 SEPTIEMBRE  2020 -OBJETO G.  HONORARIOS-ART No.424</t>
  </si>
  <si>
    <t>DS AUTORIZACION DE PAGO 02 CONTRATO 405  DEL PERIODO OCTUBRE  2020 -OBJETO G.  HONORARIOS-ART No.424</t>
  </si>
  <si>
    <t>DS AUTORIZACION DE PAGO 03 CONTRATO 405  DEL PERIODO NOVIEMBRE  2020 -OBJETO G.  HONORARIOS-ART No.424</t>
  </si>
  <si>
    <t>DS AUTORIZACION DE PAGO 04 CONTRATO 405  DEL PERIODO 1 al 31 de diciembre de 2020 -OBJETO G.  HONORARIOS-ART No.424</t>
  </si>
  <si>
    <t>CONTRATO  383/2020 CENTURY MEDIA S.A.S.</t>
  </si>
  <si>
    <t>PAGO 1 CONTRATO 383 DEL PERIODO OCTUBRE  2020 -OBJETO A.  HONORARIOS-ART No.424</t>
  </si>
  <si>
    <t>AUTORIZACIÓN DEL PAGO 2 DEL  CONTRATO 383 DE  2020 OBJETO A - HONORARIOS ART 141</t>
  </si>
  <si>
    <t>CONTRATO  608/2020 ALEXANDER RAMIREZ RAMIREZ</t>
  </si>
  <si>
    <t>DS AUTORIZACION DE PAGO 1 CONTRATO 608  DEL PERIODO  DEL 03 AL 31 DICIEMBRE 2020 -OBJETO H.  HONORARIOS-ART No.424</t>
  </si>
  <si>
    <t>CONTRATO  607/2020 LIZZETH GERALDINE TAVERA GONZALEZ</t>
  </si>
  <si>
    <t>DS PAGO 01  DE HONORARIOS DEL  CONTRATO 607 DE 2020 - PERIODO DE DICIEMBRE  DEL 2020 - OBJETO C  HONORARIOS ART.424</t>
  </si>
  <si>
    <t xml:space="preserve">CONTRATO  648/2020 JAVIER MANUEL PALACIOS MEJIA </t>
  </si>
  <si>
    <t>DS AUTORIZACIÓN DEL PAGO 1 DEL  CONTRATO 648 DE  2020 PERIODO DEL 15 AL 31 DE DICIEMBRE OBJETO C - HONORARIOS</t>
  </si>
  <si>
    <t>CONTRATO  480/2020 FANNY TORRES</t>
  </si>
  <si>
    <t>DS AUTORIZACIÓN DEL PAGO 1 DEL  CONTRATO 480 DE  2020 PERIODO NOVIEMBRE OBJETO C - HONORARIOS ART 141</t>
  </si>
  <si>
    <t>DS AUTORIZACION DE PAGO 02 CONTRATO 480 de 2020  DEL PERIODO DEL 01 AL 31 DE DICIEMBRE 2020 -OBJETO C.  HONORARIOS-ART No.424</t>
  </si>
  <si>
    <t>656/2020</t>
  </si>
  <si>
    <t xml:space="preserve">CONTRATO  656/2020 CORPORACION TALENTEM </t>
  </si>
  <si>
    <t>AUTORIZACIÓN DEL PAGO 1 CONVENIO DE ASOCIACION 656 DE 2020  APORTE  30% FRL OBJETO B Y D  - HONORARIOS ART 141 ANUAR ESFUERZO</t>
  </si>
  <si>
    <t>AUTORIZACIÓN DEL PAGO 2  CONVENIO DE ASOCIACION 656 DE 2020  APORTE  20% FRL OBJETO B Y D  - HONORARIOS ART 141 ANUAR ESFUERZO</t>
  </si>
  <si>
    <t>AUTORIZACIÓN DEL PAGO 3 CONVENIO DE ASOCIACION 656 DE 2021  APORTE  30% FRL OBJETO B Y D  -  HONORARIOS ART 141 ANUAR ESFUERZO.  VIG 2021 PAGO 1 DE 2</t>
  </si>
  <si>
    <t>AUTORIZACIÓN DEL PAGO 3 CONVENIO DE ASOCIACION 656 DE 2020  APORTE  30% FRL OBJETO  D  - HONORARIOS ART 141 ANUAR ESFUERZO.VIG 2020 PAGO 2 DE 2</t>
  </si>
  <si>
    <t>AUTORIZACIÓN DEL PAGO 4  CONVENIO DE ASOCIACION 656 DE 2020  APORTE  20% FRL OBJETO D  HONORARIOS ART 141 ANUAR ESFUERZO</t>
  </si>
  <si>
    <t>CONTRATO  10/2021 LEONARDO PLAZAS BETANCOURT</t>
  </si>
  <si>
    <t>DS AUTORIZACION DE PAGO 1 CONTRATO 010  DEL PERIODO DEL 6 AL 31 ENERO 2021 -OBJETO H.  HONORARIOS-ART No.424</t>
  </si>
  <si>
    <t>DS AUTORIZACION DE PAGO 02 CONTRATO 010 de 2021  DEL PERIODO DEL 01 AL 28 DE FEBRERO 2021 -OBJETO G.  HONORARIOS-ART No.424</t>
  </si>
  <si>
    <t>DS AUTORIZACION DE PAGO 03 CONTRATO 010 de 2021  DEL PERIODO DEL 01 AL 31 DE MARZO  -OBJETO H.  HONORARIOS-ART No.424</t>
  </si>
  <si>
    <t>salud</t>
  </si>
  <si>
    <t>DS AUTORIZACION DE PAGO 04 CONTRATO 010 de 2021  DEL PERIODO DEL 01 AL 30 DE ABRIL DEL 2021 -OBJETO H.  HONORARIOS-ART No.424</t>
  </si>
  <si>
    <t>pension</t>
  </si>
  <si>
    <t>DS AUTORIZACION DE PAGO 05 CONTRATO 010 de 2021  DEL PERIODO DEL 01 AL 31 DE MAYO DEL 2021 -OBJETO H.  HONORARIOS-ART No.424</t>
  </si>
  <si>
    <t>DS AUTORIZACION DE PAGO 06 CONTRATO 010 de 2021  DEL PERIODO DEL 01 AL 30 DE JUNIO  -OBJETO H.  HONORARIOS-ART No.424</t>
  </si>
  <si>
    <t>DS AUTORIZACION DE PAGO 07 CONTRATO 010 de 2021  DEL PERIODO DEL 01 AL 31 DE JULIO  -OBJETO H.  HONORARIOS-ART No.424</t>
  </si>
  <si>
    <t>DS AUTORIZACION DE PAGO 8 CONTRATO 010 DE 2021  DEL PERIODO DE AGOSTO 2021 -OBJETO H.  HONORARIOS-ART No.424</t>
  </si>
  <si>
    <t>DS AUTORIZACION DE PAGO 9 CONTRATO 010  DEL PERIODO DE SEPTIEMBRE 2021  OBJETO H  HONORARIOS ART No 424</t>
  </si>
  <si>
    <t>DS AUTORIZACION DE PAGO 10 CONTRATO 010 DE 2021  DEL PERIODO DEL 1 AL 31 OCTUBRE 2021 -OBJETO H.  HONORARIOS-ART No.424</t>
  </si>
  <si>
    <t>DS PAGO NUMERO 11 contrato No. 010 de 2021, conforme a la cláusula No. 9 DEL 1 y el 30 de noviembre de 2021 OBJETO H ART 424.</t>
  </si>
  <si>
    <t>DS PAGO NUMERO 12 contrato No. 010 de 2021, DEL 1 y el 31 de diciembre de 2021 OBJETO H ART 424.</t>
  </si>
  <si>
    <t>CONTRATO  8/2021 JULIAN DAVID PEÑA</t>
  </si>
  <si>
    <t>DS PAGO 01 CONTRATO 008 DEL PERIODO DEL 06 AL 31 ENERO 2021 -OBJETO H.  HONORARIOS-ART No.424</t>
  </si>
  <si>
    <t>DS AUTORIZACION DE PAGO 02 CONTRATO 008 de 2021  DEL PERIODO DEL 1 AL 28 DE FEBRERO 2021 -OBJETO H.  HONORARIOS-ART No.424</t>
  </si>
  <si>
    <t>JULIAN DAVID PEÑA MARTINEZ</t>
  </si>
  <si>
    <t>DS AUTORIZACION DE PAGO 03 CONTRATO 008  de 2021  DEL PERIODO DEL 01 AL 31 DE FEBRERO 2021 -OBJETO H.  HONORARIOS-ART No.424</t>
  </si>
  <si>
    <t>DS AUTORIZACION DE PAGO 04 CONTRATO 008 de 2021  DEL PERIODO DEL 1 AL 30 DE ABRIL 2021 -OBJETO H.  HONORARIOS-ART No.424</t>
  </si>
  <si>
    <t>DS AUTORIZACION DE PAGO 05 CONTRATO 008 de 2021  DEL PERIODO DEL 1 AL 21 DE MAYO 2021 -OBJETO H.  HONORARIOS-ART No.424</t>
  </si>
  <si>
    <t>DS AUTORIZACION DE PAGO 06 CONTRATO 008 de 2021  DEL PERIODO DEL 1 AL 30 DE JUNIO 2021 -OBJETO H.  HONORARIOS-ART No.424</t>
  </si>
  <si>
    <t>DS AUTORIZACION DE PAGO 07 CONTRATO 008 de 2021  DEL PERIODO DEL 1 AL 31 DE JULIO 2021 -OBJETO H.  HONORARIOS-ART No.424</t>
  </si>
  <si>
    <t>DS PAGO 08 CONTRATO 008 DE 2021 DEL PERIODO AGOSTO  2021 -OBJETO H.  HONORARIOS-ART No.424</t>
  </si>
  <si>
    <t>DS PAGO 09 CONTRATO 008 DE 2021 DEL PERIODO SEPTIEMBRE  2021 OBJETO H  HONORARIOS ART No 424</t>
  </si>
  <si>
    <t>DS PAGO 10 CONTRATO 008 DE 2021 DEL PERIODO DEL 1 AL 31 DE OCTUBRE 2021 -OBJETO H.  HONORARIOS-ART No.424</t>
  </si>
  <si>
    <t>DS PAGO NUMERO 11 Prestación de servicios profesionales por el contrato N 008 de 2021, conforme a la cláusula décima, del período entre el (1) y el (30) de nov de 2021 OBJETO H</t>
  </si>
  <si>
    <t>DS PAGO NUMERO 12 al contrato N 008 de 2021, del período entre 1 AL 31 de Diciembre 2021 OBJETO H .HONORARIOS-ART No.424</t>
  </si>
  <si>
    <t>CONTRATO  9/2021 HELENA PEÑA URREGO</t>
  </si>
  <si>
    <t>DS PAGO 01 CONTRATO 009 DEL 2021 PERIODO DEL 06 AL 31 ENERO 2021 -OBJETO H.  HONORARIOS-ART No.424</t>
  </si>
  <si>
    <t>DS AUTORIZACION DE PAGO 02 CONTRATO 009 de 2021  DEL PERIODO DEL 01 AL 28 DE FEBRERO 2021 -OBJETO G.  HONORARIOS-ART No.424</t>
  </si>
  <si>
    <t>DS AUTORIZACION DE PAGO 03 CONTRATO 009  de 2021  DEL PERIODO DEL 1 AL 31 DE MARZO 2021 -OBJETO H.  HONORARIOS-ART No.424</t>
  </si>
  <si>
    <t>DS AUTORIZACION DE PAGO 04 CONTRATO 009 de 2021  DEL PERIODO DEL 01 AL 30 DE ABRIL 2021 -OBJETO G.  HONORARIOS-ART No.424</t>
  </si>
  <si>
    <t>DS AUTORIZACION DE PAGO 05 CONTRATO 009 de 2021  DEL PERIODO DEL 01 AL 31 DE MAYO 2021 -OBJETO G.  HONORARIOS-ART No.424</t>
  </si>
  <si>
    <t>DS AUTORIZACION DE PAGO 06 CONTRATO 009 de 2021  DEL PERIODO DEL 01 AL 30 DE JUNIO  2021 -OBJETO G.  HONORARIOS-ART No.424</t>
  </si>
  <si>
    <t>DS AUTORIZACION DE PAGO 07 CONTRATO 009 de 2021  DEL PERIODO DEL 01 AL 31 DE JUlIO  2021 -OBJETO G.  HONORARIOS-ART No.424</t>
  </si>
  <si>
    <t>DS PAGO 08 CONTRATO 009 DEL 2021 PERIODO AGOSTO  2021 -OBJETO H.  HONORARIOS-ART No.424</t>
  </si>
  <si>
    <t>DS PAGO 09 CONTRATO 009 DEL 2021 PERIODO SEPTIEMBRE  2021 OBJETO H HONORARIOS ART No 424</t>
  </si>
  <si>
    <t>DS PAGO 10 CONTRATO 009 DEL 2021 PERIODO DEL 1 AL 31 DE OCTUBRE DE 2021 -OBJETO H.  HONORARIOS-ART No.424</t>
  </si>
  <si>
    <t>DS PAGO 11 contrato No. 009 de 2021, conforme a la cláusula No. 9, del 01 y el 30 de noviembre de 2021 OBJETO H ART 424.</t>
  </si>
  <si>
    <t>DS PAGO 12 OBJETO H Prestación de servicios profesionales por el contrato No 009 de 2021 conforme a la cláusula No 9 del período comprendido entre el 01 y el 31 de diciembre de 2021</t>
  </si>
  <si>
    <t>CONTRATO  7/2021 EDGAR ANDRES GOMEZ</t>
  </si>
  <si>
    <t>DS AUTORIZACION DE PAGO 1 CONTRATO 007 DE 2021 - PERIODO DEL 07 AL 31 DE  ENERO DE 2021  - OBJETO H HONORARIOS ART.424</t>
  </si>
  <si>
    <t>DS AUTORIZACION DE PAGO 02 CONTRATO 007 de 2021  DEL PERIODO DEL 01 AL 28 DE FEBRERO 2021 -OBJETO G.  HONORARIOS-ART No.424</t>
  </si>
  <si>
    <t>DS AUTORIZACION DE PAGO 03 CONTRATO 007 de 2021  DEL PERIODO DEL 01 AL 31 DE MARZO 2021 -OBJETO H.  HONORARIOS-ART No.424</t>
  </si>
  <si>
    <t>DS AUTORIZACION DE PAGO 04 CONTRATO 007 de 2021  DEL PERIODO DEL 01 AL 30 DE ABRIL 2021 -OBJETO H.  HONORARIOS-ART No.424</t>
  </si>
  <si>
    <t>DS AUTORIZACION DE PAGO 05 CONTRATO 007 de 2021 DEL PERIODO DEL 01 AL 31 DE MAYO 2021-OBJETO H. HONORARIOS-ART No.424</t>
  </si>
  <si>
    <t>DS AUTORIZACION DE PAGO 06 CONTRATO 007 de 2021  DEL PERIODO DEL 01 AL 30 DE JUNIO 2021 -OBJETO H.  HONORARIOS-ART No.424</t>
  </si>
  <si>
    <t>DS AUTORIZACION DE PAGO 07 CONTRATO 007 de 2021  DEL PERIODO DEL 01 AL 31 DE JULIO 2021 -OBJETO H.  HONORARIOS-ART No.424</t>
  </si>
  <si>
    <t>DS AUTORIZACION DE PAGO 8 CONTRATO 007 DE 2021 - PERIODO DE AGOSTO DE 2020  - OBJETO C HONORARIOS ART.424</t>
  </si>
  <si>
    <t>DS AUTORIZACION DE PAGO 9 CONTRATO 007 DE 2021 - PERIODO DE 1 AL 30 DE SEPTIEMBRE DE 2020  - OBJETO H HONORARIOS ART.424</t>
  </si>
  <si>
    <t>DS AUTORIZACION DE PAGO 10 CONTRATO 007 DE 2021 - PERIODO DE 1 AL 31 DE OCTUBRE DE 2021  - OBJETO H HONORARIOS ART.424</t>
  </si>
  <si>
    <t>DS PAGO NUMERO 11 contrato No. 007 de 2021, conforme a la cláusula No. 9, del período DE 01 A 30 de noviembre de 2021 OBJETO H ART 424</t>
  </si>
  <si>
    <t>DS PAGO NUMERO 12 contrato No. 007 de 2021, del período DE 01 A 31 de diciembre de 2021 OBJETO H ART 424</t>
  </si>
  <si>
    <t>CONTRATO  6/2021 ALIX DEL PILAR SEPULVEDA</t>
  </si>
  <si>
    <t>DS AUTORIZACION DE PAGO 01 CONTRATO 006 de 2021  DEL PERIODO DEL 07 AL 31 DE ENERO 2021 -OBJETO H.  HONORARIOS-ART No.424</t>
  </si>
  <si>
    <t>DS AUTORIZACION DE PAGO 02 CONTRATO 006 de 2021  DEL PERIODO DEL 01 AL 28 DE FEBRERO 2021 -OBJETO H.  HONORARIOS-ART No.424</t>
  </si>
  <si>
    <t>DS AUTORIZACION DE PAGO 03 CONTRATO 006 de 2021  DEL PERIODO DEL 01 AL 31 DE MARZO 2021 -OBJETO H.  HONORARIOS-ART No.424</t>
  </si>
  <si>
    <t>DS AUTORIZACION DE PAGO 04 CONTRATO 006 de 2021  DEL PERIODO DEL 01 AL 30 DE ABRIL 2021 -OBJETO H.  HONORARIOS-ART No.424</t>
  </si>
  <si>
    <t>DS AUTORIZACION DE PAGO 05 CONTRATO 006 de 2021  DEL PERIODO DEL 01 AL 31 DE MAYO 2021 -OBJETO H.  HONORARIOS-ART No.424</t>
  </si>
  <si>
    <t>DS AUTORIZACION DE PAGO 06CONTRATO 006 de 2021  DEL PERIODO DEL 01 AL 30 DE JUNIO  2021 -OBJETO H.  HONORARIOS-ART No.424</t>
  </si>
  <si>
    <t>DS AUTORIZACION DE PAGO 07 CONTRATO 006 de 2021  DEL PERIODO DEL 01 AL 31 DE JULIO  2021 -OBJETO H.  HONORARIOS-ART No.424</t>
  </si>
  <si>
    <t>DS PAGO 08 CONTRATO 06 de 2021  DEL PERIODO AGOSTO 2021 -LINEA H.  HONORARIOS-ART No.424</t>
  </si>
  <si>
    <t>DS AUTORIZACION DE PAGO 09 CONTRATO 06 de 2021  DEL PERIODO DE EL 1 AL 30 DE SEPTIEMBRE 2021 -LINEA H.  HONORARIOS-ART No.424</t>
  </si>
  <si>
    <t>DS PAGO 10 CONTRATO 006 2021 DEL PERIODO 1 A 31 DE OCTUBRE 2021 -LINEA H.  HONORARIOS-ART No.424</t>
  </si>
  <si>
    <t>DS PAGO 11 OBJETO H contrato No. 006 de 2021 conforme a la cláusula No. 9 del período comprendido entre el 01 y el 30 de noviembre de 2021 ART 424</t>
  </si>
  <si>
    <t>DS PAGO 12 contrato No. 006 de 2021 del período comprendido entre el 01 y el 31 de DICIEMBRE de 2021 ART 424. OBJETO H  HONORARIOS-ART No.424</t>
  </si>
  <si>
    <t>CONTRATO  11/2021 JOSE DEL CRISTO RAMIREZ</t>
  </si>
  <si>
    <t>DS AUTORIZACION DE PAGO 01 CONTRATO 011 de 2021  DEL PERIODO DEL 12 AL 31 DE ENERO 2021 -OBJETO H.  HONORARIOS-ART No.424</t>
  </si>
  <si>
    <t>DS AUTORIZACION DE PAGO 2 CONTRATO 011 de 2021  DEL PERIODO DEL 1 AL 28 DE FEBRERO 2021 -OBJETO H.  HONORARIOS-ART No.425</t>
  </si>
  <si>
    <t>DS AUTORIZACION DE PAGO 3 CONTRATO 011 de 2021  DEL PERIODO DEL 1 AL 31 DE MARZO 2021 -OBJETO H.  HONORARIOS-ART No.425</t>
  </si>
  <si>
    <t>DS AUTORIZACION DE PAGO 4 CONTRATO 011 de 2021  DEL PERIODO DEL 1 AL 30 DE ABRIL 2021 -OBJETO H.  HONORARIOS-ART No.425</t>
  </si>
  <si>
    <t>DS AUTORIZACION DE PAGO 5 CONTRATO 011 de 2021  DEL PERIODO DEL 1 AL 31 DE MAYO 2021 -OBJETO H.  HONORARIOS-ART No.425</t>
  </si>
  <si>
    <t>DS AUTORIZACION DE PAGO 6 CONTRATO 011 de 2021  DEL PERIODO DEL 1 AL 30 DE JUNIO  2021 -OBJETO H.  HONORARIOS-ART No.424</t>
  </si>
  <si>
    <t>DS AUTORIZACION DE PAGO 7 CONTRATO 011 de 2021  DEL PERIODO DEL 1 AL 31 DE JULIO  2021 -OBJETO H.  HONORARIOS-ART No.424</t>
  </si>
  <si>
    <t>DS PAGO 8 DE HONORARIOS DEL  CONTRATO 011  DE 2021 - PERIODO DE AGOSTO  DEL 2021 - OBJETO H- HONORARIOS ART.424</t>
  </si>
  <si>
    <t>DS AUTORIZACION DE PAGO 9 CONTRATO 011 de 2021  DEL PERIODO DEL 1 AL 30 DE SEPTIEMBRE 2021 -OBJETO H.  HONORARIOS-ART No.425</t>
  </si>
  <si>
    <t>PAGO 10 Prestación de servicios profesionales por el contrato No 11 de 2021 conforme a la cláusula No 9 del período comprendido entre 1 al 31 de octubre de 2021 art 424</t>
  </si>
  <si>
    <t>DS PAGO 11 OBJETO H Prestación de servicios profesionales por el contrato No 11 de 2021 conforme a la cláusula No 9 del período comprendido entre 1 al 30 de noviembre de 2021</t>
  </si>
  <si>
    <t>DS PAGO 12 contrato No 11 de 2021 del período comprendido entre 1 al 30 de diciembre de 2021, OBJETO A.  HONORARIOS-ART No.424</t>
  </si>
  <si>
    <t xml:space="preserve">CONTRATO  12/2021 PABLO ARISTOBULO SIERRA LEON </t>
  </si>
  <si>
    <t>DS AUTORIZACION DE PAGO 01 CONTRATO 012 de 2021  DEL PERIODO DEL 08 AL 31 DE ENERO 2021 -OBJETO H.  HONORARIOS-ART No.424</t>
  </si>
  <si>
    <t>DS AUTORIZACION DE PAGO 02 CONTRATO 012 de 2021  DEL PERIODO DEL 01 AL 28 DE FEBRERO 2021 -OBJETO H.  HONORARIOS-ART No.424</t>
  </si>
  <si>
    <t>DS AUTORIZACION DE PAGO 03 CONTRATO 012 de 2021  DEL PERIODO DEL 01 AL 31 DE MARZO 2021 -OBJETO H.  HONORARIOS-ART No.424</t>
  </si>
  <si>
    <t>9417000133-9418169503</t>
  </si>
  <si>
    <t>DS AUTORIZACION DE PAGO 04 CONTRATO 012 de 2021  DEL PERIODO DEL 01 AL 30 DE ABRIL 2021 -OBJETO H.  HONORARIOS-ART No.424</t>
  </si>
  <si>
    <t>DS AUTORIZACION DE PAGO 05 CONTRATO 012 de 2021  DEL PERIODO DEL 01 AL 31 DE MAYO 2021 -OBJETO H.  HONORARIOS-ART No.424</t>
  </si>
  <si>
    <t>DS AUTORIZACION DE PAGO 06 CONTRATO 012 de 2021  DEL PERIODO DEL 01 AL 30 DE JUNIO 2021 -OBJETO H.  HONORARIOS-ART No.424</t>
  </si>
  <si>
    <t>DS AUTORIZACION DE PAGO 07 CONTRATO 012 de 2021  DEL PERIODO DEL 01 AL 31 DE JULIO 2021 -OBJETO H.  HONORARIOS-ART No.424</t>
  </si>
  <si>
    <t>DS AUTORIZACION DE PAGO 08 CONTRATO 012 de 2021  DEL PERIODO DEL 01 AL 07 DE AGOSTO 2021 -OBJETO H.  HONORARIOS-ART No.424</t>
  </si>
  <si>
    <t>CONTRATO  23/2021 JOSE ALBERTO BORBON REYES</t>
  </si>
  <si>
    <t>DS AUTORIZACION DE PAGO 01 CONTRATO 023 de 2021  DEL PERIODO DEL 13 AL 31 DE ENERO 2021 -OBJETO A.  HONORARIOS-ART No.424</t>
  </si>
  <si>
    <t>DS AUTORIZACION DE PAGO 02 CONTRATO 023 de 2021  DEL PERIODO DEL 1 AL 28 DE FEBRERO 2021 -OBJETO A.  HONORARIOS-ART No.424</t>
  </si>
  <si>
    <t>DS AUTORIZACION DE PAGO 03 CONTRATO 023 de 2021  DEL PERIODO DEL 1 AL 31 DE MARZO 2021 -OBJETO A.  HONORARIOS-ART No.424</t>
  </si>
  <si>
    <t>DS AUTORIZACION DE PAGO 04 CONTRATO 023 de 2021  DEL PERIODO DEL 1 AL 30 DE ABRIL 2021 -OBJETO A.  HONORARIOS-ART No.424</t>
  </si>
  <si>
    <t>DS AUTORIZACION DE PAGO 04 CONTRATO 023 de 2021  DEL PERIODO DEL 1 AL 31 DE MAYO 2021 -OBJETO A.  HONORARIOS-ART No.424</t>
  </si>
  <si>
    <t>DS AUTORIZACION DE PAGO 06 CONTRATO 023 de 2021  DEL PERIODO DEL 1 AL 30 DE JUNIO 2021 -OBJETO A.  HONORARIOS-ART No.424</t>
  </si>
  <si>
    <t>DS AUTORIZACION DE PAGO 07 CONTRATO 023 de 2021  DEL PERIODO DEL 1 AL 31 DE JULIO 2021 -OBJETO A.  HONORARIOS-ART No.424</t>
  </si>
  <si>
    <t>DS AUTORIZACION DE PAGO 08 CONTRATO 023 de 2021  DEL PERIODO DEL 1 AL 31 DE AGOSTO 2021 -OBJETO A.  HONORARIOS-ART No.424</t>
  </si>
  <si>
    <t>DS AUTORIZACION DE PAGO 09 CONTRATO 023 de 2021  DEL PERIODO DEL 1 AL 30 DE SEPTIEMBRE 2021 -OBJETO A.  HONORARIOS-ART No.424</t>
  </si>
  <si>
    <t>"PAGO # 10 Contrato No. 023 del 2021.Servicio del 1 al 31 de octubre del 2021.- OBJETO A , HONORARIOS ART. 424"</t>
  </si>
  <si>
    <t>PAGO 11 OBJETO G Prestación de servicios profesionales por el contrato No 23 de 2021 conforme a la cláusula No.9 del 1 A 30 de noviembre de 2021 ART 424</t>
  </si>
  <si>
    <t>AUTORIZACION DE PAGO 12 OBJETO A Prestación de servicios profesionales por el contrato No 023 de 2021 factura del 1 A 31 de diciembre de 2021 ART 424</t>
  </si>
  <si>
    <t>CONTRATO  31/2021 WILLIAM ALFREDO SALEME</t>
  </si>
  <si>
    <t>DS AUTORIZACION DE PAGO 01 CONTRATO 031 de 2021  DEL PERIODO DEL 18 AL 31 DE ENERO 2021 -OBJETO C.  HONORARIOS-ART No.424</t>
  </si>
  <si>
    <t>DS AUTORIZACION DE PAGO 02 CONTRATO 031 de 2021  DEL PERIODO DEL 1 AL 28 DE FEBRERO 2021 -OBJETO H.  HONORARIOS-ART No.424</t>
  </si>
  <si>
    <t>DS AUTORIZACION DE PAGO 03 CONTRATO 031 de 2021  DEL PERIODO DEL 1 AL 31 DE MARZO 2021 -OBJETO C.  HONORARIOS-ART No.424</t>
  </si>
  <si>
    <t>DS AUTORIZACION DE PAGO 04 CONTRATO 031 de 2021  DEL PERIODO DEL 1 AL 30 DE ABRIL 2021 -OBJETO C.  HONORARIOS-ART No.424</t>
  </si>
  <si>
    <t>DS AUTORIZACION DE PAGO 05 CONTRATO 031 de 2021  DEL PERIODO DEL 1 AL 31 DE MAYO 2021 -OBJETO C.  HONORARIOS-ART No.424</t>
  </si>
  <si>
    <t>DS AUTORIZACION DE PAGO 06 CONTRATO 031 de 2021  DEL PERIODO DEL 1 AL 30 DE JUNIO 2021 -OBJETO C.  HONORARIOS-ART No.424</t>
  </si>
  <si>
    <t>DS AUTORIZACION DE PAGO 07 CONTRATO 031 de 2021  DEL PERIODO DEL 1 AL 31 DE JULIO 2021 -OBJETO C.  HONORARIOS-ART No.424</t>
  </si>
  <si>
    <t>PAGO 8 DE HONORARIOS DEL  CONTRATO 031 DE 2021 - CORRESPONDIENTE AL PERIODO DE AGOSTO DE 2021 - OBJETO G- HONORARIOS ART.424</t>
  </si>
  <si>
    <t>PAGO 9 DE HONORARIOS DEL  CONTRATO 031 DE 2021 - CORRESPONDIENTE AL PERIODO DE SEPTIEMBRE DE 2021 - OBJETO G- HONORARIOS ART.424</t>
  </si>
  <si>
    <t>PAGO 10 DE HONORARIOS DEL  CONTRATO 031 DE 2021 - CORRESPONDIENTE AL PERIODO DE OCTUBRE DE 2021 - OBJETO G- HONORARIOS ART.424</t>
  </si>
  <si>
    <t>PAGO 11 DE HONORARIOS DEL  CONTRATO 031 DE 2021 - CORRESPONDIENTE AL PERIODO DE NOVIEMBRE DE 2021 - OBJETO C- HONORARIOS ART.424</t>
  </si>
  <si>
    <t>PAGO 12 DE HONORARIOS DEL  CONTRATO 031 DE 2021 - CORRESPONDIENTE AL PERIODO DE DICIEMBRE DE 2021 - OBJETO C- HONORARIOS ART.424</t>
  </si>
  <si>
    <t xml:space="preserve">CONTRATO  35/2021 DIANA MARIA GOMEZ ORTIZ </t>
  </si>
  <si>
    <t>DS PAGO 1 DE HONORARIOS DEL  CONTRATO 035  DE 2021 - PERIODO DEL 20 AL 31 DE ENERO DEL 2021 - OBJETO C- HONORARIOS ART.424</t>
  </si>
  <si>
    <t>DS AUTORIZACION DE PAGO 02 CONTRATO 035 de 2021  DEL PERIODO DEL 01 AL 28 DE FEBRERO 2021 -OBJETO G.  HONORARIOS-ART No.424</t>
  </si>
  <si>
    <t>DS AUTORIZACION DE PAGO 03 CONTRATO 035 de 2021  DEL PERIODO DEL 01 AL 31 DE MARZO 2021 -OBJETO C.  HONORARIOS-ART No.424</t>
  </si>
  <si>
    <t>DS AUTORIZACION DE PAGO 04 CONTRATO 035 de 2021  DEL PERIODO DEL 01 AL 30 DE ABRIL 2021 -OBJETO C.  HONORARIOS-ART No.424</t>
  </si>
  <si>
    <t>DS AUTORIZACION DE PAGO 05 CONTRATO 035 de 2021  DEL PERIODO DEL 01 AL 31 DE MAYO 2021 -OBJETO C.  HONORARIOS-ART No.424</t>
  </si>
  <si>
    <t>DS AUTORIZACION DE PAGO 06 CONTRATO 035 de 2021  DEL PERIODO DEL 01 AL 30 DE JUNIO  2021 -OBJETO C.  HONORARIOS-ART No.424</t>
  </si>
  <si>
    <t>DS AUTORIZACION DE PAGO 07 CONTRATO 035 de 2021  DEL PERIODO DEL 01 AL 31 DE JULIO  2021 -OBJETO C.  HONORARIOS-ART No.424</t>
  </si>
  <si>
    <t>DS AUTORIZACION DE PAGO 08 CONTRATO 035 de 2021  DEL PERIODO DEL 01 AL 31 DE AGOSTO 2021 -OBJETO C.  HONORARIOS-ART No.424</t>
  </si>
  <si>
    <t>DS PAGO 9 DE HONORARIOS DEL  CONTRATO 035  DE 2021 - PERIODO DE SEPTIEMBRE DEL 2021 - OBJETO C- HONORARIOS ART.424</t>
  </si>
  <si>
    <t>DS AUTORIZACION DE PAGO 10 CONTRATO 035 de 2021  DEL PERIODO DEL 01 AL 31 DE OCTUBRE 2021 -OBJETO C.  HONORARIOS-ART No.424</t>
  </si>
  <si>
    <t>DS AUTORIZACION DE PAGO 11 OBJETO C Prestación de servicios por el contrato No 35 de 2021 conforme a la cláusula No 09 del período comprendido entre el 1 y el 30 de noviembre de 2021</t>
  </si>
  <si>
    <t>DS AUTORIZACION DE PAGO 12 CONTRATO 035 de 2021  DEL PERIODO DEL 01 AL 31 DE DICIEMBRE 2021 -OBJETO C.  HONORARIOS-ART No.424</t>
  </si>
  <si>
    <t xml:space="preserve">CONTRATO  49/2021 JESUS ANTONIO MORENO </t>
  </si>
  <si>
    <t>DS AUTORIZACION DE PAGO 1 CONTRATO 049 DE 2021 - PERIODO Del 20 al 31 ENERO DE 2021  - OBJETO G HONORARIOS ART.424</t>
  </si>
  <si>
    <t>DS AUTORIZACION DE PAGO 02 CONTRATO 049 de 2021  DEL PERIODO DEL 1 AL 28 DE FEBRERO 2021 -OBJETO H.  HONORARIOS-ART No.424</t>
  </si>
  <si>
    <t>DS AUTORIZACION DE PAGO 03 CONTRATO 049 de 2021  DEL PERIODO DEL 1 AL 31 DE MARZO 2021 -OBJETO G.  HONORARIOS-ART No.424</t>
  </si>
  <si>
    <t>DS AUTORIZACION DE PAGO 04 CONTRATO 049 de 2021  DEL PERIODO DEL 1 AL 30 DE ABRIL 2021 -OBJETO G.  HONORARIOS-ART No.424</t>
  </si>
  <si>
    <t>DS AUTORIZACION DE PAGO 05 CONTRATO 049 de 2021  DEL PERIODO DEL 1 AL 31 DE MAYO 2021 -OBJETO G.  HONORARIOS-ART No.424</t>
  </si>
  <si>
    <t>DS AUTORIZACION DE PAGO 06 CONTRATO 049 de 2021  DEL PERIODO DEL 1 AL 30 DE JUNIO 2021 -OBJETO G.  HONORARIOS-ART No.424</t>
  </si>
  <si>
    <t>DS AUTORIZACION DE PAGO 07 CONTRATO 049 de 2021  DEL PERIODO DEL 1 AL 31 DE JULIO 2021 -OBJETO G.  HONORARIOS-ART No.424</t>
  </si>
  <si>
    <t>DS AUTORIZACION DE PAGO 01 DE DESPLAZAMIENTOS A LA CUIDAD DE SANTA MARTA CONTRATO 049 de 2021  DEL PERIODO DEL 26 AL 30 DE JULIO 2021 -OBJETO G.  HONORARIOS-ART No.155</t>
  </si>
  <si>
    <t>DESPLAZAMIENTOS</t>
  </si>
  <si>
    <t>DS AUTORIZACION DE PAGO 8 CONTRATO 049 DE 2021 - PERIODO DE 1 AGOSTO 31DE 2021 - OBJETO G HONORARIOS ART 424</t>
  </si>
  <si>
    <t>DS AUTORIZACION DE PAGO 9 CONTRATO 049 DE 2021 - PERIODO DE 1 AL 31 DE SEPTIEMBRE DE 2021  - OBJETO G HONORARIOS ART.424</t>
  </si>
  <si>
    <t xml:space="preserve">DS AUTORIZACION DE PAGO LEGALIZACION A LA CIUDAD DE MEDELLIN, LOS DÌAS 31 DE AGOSTO, 1 ,2 Y 3 DE SEPTIEMBRE DE 2021 - BARRANQUILLA LOS DÌAS 14, 15 Y 16 DE SEPTIEMBRE DE 2021  - OBJETO G </t>
  </si>
  <si>
    <t>DS AUTORIZACION DE PAGO # 10 CONTRATO 049 DE 2021 CONFORME A LA CLAUSULA # 9 - PERIODO DE 1 AL 31 DE OCTUBRE DE 2021  - OBJETO G HONORARIOS ART.424</t>
  </si>
  <si>
    <t>PAGO 3 CONTRATO 049 DE 2021 OBJETO G PERIODO DE 29 DE SEPTIEMBRE A 30 DE SEPTIEMBRE DE 2021 ART 424 PAGO 1 DE 2</t>
  </si>
  <si>
    <t>DS PAGO 3 CONTRATO 049 DE 2021 OBJETO G PERIODO DE 6 A 8 DE OCTUBRE A LA CIUDAD DE PASTO DE 2021 ART 424 PAGO 2 DE 2</t>
  </si>
  <si>
    <t>DS AUTORIZACION DE PAGO 11 CONTRATO 049 DE 2021 PERIODO DE 1 A 30 DE NOVIEMBRE DE 2021 OBJETO G HONORARIOS ART 424</t>
  </si>
  <si>
    <t>DS AUTORIZACION DE PAGO 4 LEGALIZACION DE DESPLAZAMIENTOS A LA CIUDAD DE NEIVA DE 24 A 26 DE NOVIEMBRE CONTRATO 049 DE 2021 periodo dee 1 a 30 de nov ART 424 OBJETO G</t>
  </si>
  <si>
    <t>DS PAGO 12 PRESTACION DE SERVICIOS CONTRATO 049 OBJETO G PERIODO DE 1 A 31 DE DICIEMBRE DE 2021 art 424</t>
  </si>
  <si>
    <t xml:space="preserve">CONTRATO  50/2021 EDITH ANDREA RAIGOSA </t>
  </si>
  <si>
    <t>DS AUTORIZACION DE PAGO 01 CONTRATO 050 de 2021 DEL PERIODO DEL 20 AL 31 DE ENERO 2021 -OBJETO C. HONORARIOS-ART No.424</t>
  </si>
  <si>
    <t>DS AUTORIZACION DE PAGO 02 CONTRATO 050 de 2021  DEL PERIODO DEL 01 AL 28 DE FEBRERO 2021 -OBJETO C.  HONORARIOS-ART No.424</t>
  </si>
  <si>
    <t>DS AUTORIZACION DE PAGO 03 CONTRATO 050 de 2021  DEL PERIODO DEL 01 AL 31 DE MARZO 2021 -OBJETO C.  HONORARIOS-ART No.424</t>
  </si>
  <si>
    <t>DS AUTORIZACION DE PAGO 04 CONTRATO 050 de 2021  DEL PERIODO DEL 01 AL 30 DE ABRIL 2021 -OBJETO C.  HONORARIOS-ART No.424</t>
  </si>
  <si>
    <t>DS AUTORIZACION DE PAGO 05 CONTRATO 050 de 2021  DEL PERIODO DEL 01 AL 31 DE MAYO 2021 -OBJETO C.  HONORARIOS-ART No.424</t>
  </si>
  <si>
    <t>DS AUTORIZACION DE PAGO 06 CONTRATO 050 de 2021  DEL PERIODO DEL 01 AL 30 DE JUNIO 2021 -OBJETO C.  HONORARIOS-ART No.424</t>
  </si>
  <si>
    <t>DS AUTORIZACION DE PAGO 07 CONTRATO 050 de 2021  DEL PERIODO DEL 01 AL 31 DE JULIO 2021 -OBJETO C.  HONORARIOS-ART No.424</t>
  </si>
  <si>
    <t>DS AUTORIZACION DE PAGO 08 CONTRATO 050 de 2021  DEL PERIODO DEL 01 AL 31 DE AGOSTO 2021 -OBJETO C.  HONORARIOS-ART No.424</t>
  </si>
  <si>
    <t>DS AUTORIZACION DE PAGO 09 CONTRATO 050 de 2021  DEL PERIODO DEL 01 AL 30 DE MASEPTIEMBRE  2021 -OBJETO C.  HONORARIOS-ART No.424</t>
  </si>
  <si>
    <t>DS AUTORIZACION DE PAGO 10 CONTRATO 050 de 2021  DEL PERIODO DEL 01 AL 31 DE OCTUBRE 2021 -OBJETO C.  HONORARIOS-ART No.424</t>
  </si>
  <si>
    <t>DS AUTORIZACION DE PAGO 11 CONTRATO 050 de 2021  DEL PERIODO DEL 01 AL 30 DE NOVIEMBRE 2021 OBJETO C  HONORARIOS ART No 424</t>
  </si>
  <si>
    <t>DS PAGO 12 OBJETO C Prestación de servicios profesionales por el contrato No.050 de 2021 conforme a la cláusula No 9 del período comprendido entre el 01 y el 31 de diciembre de 2021</t>
  </si>
  <si>
    <t xml:space="preserve">CONTRATO  65/2021 DIEGO FERNANDO CASTELLANOS </t>
  </si>
  <si>
    <t>DS AUTORIZACION DE PAGO 01 CONTRATO 065 de 2021  DEL PERIODO DEL 21 AL 31 DE ENERO 2021 -OBJETO C.  HONORARIOS-ART No.424</t>
  </si>
  <si>
    <t>DS AUTORIZACION DE PAGO 02 CONTRATO 065 de 2021  DEL PERIODO DEL 1 AL 28 DE FEBRERO 2021 -OBJETO H.  HONORARIOS-ART No.424</t>
  </si>
  <si>
    <t>DS AUTORIZACION DE PAGO 03 CONTRATO 065 de 2021  DEL PERIODO DEL 1 AL 31 DE MARZO 2021 -OBJETO C.  HONORARIOS-ART No.424</t>
  </si>
  <si>
    <t>DS AUTORIZACION DE PAGO 04 CONTRATO 065 de 2021  DEL PERIODO DEL 1 AL 30 DE ABRIL 2021 -OBJETO C.  HONORARIOS-ART No.424</t>
  </si>
  <si>
    <t>DS AUTORIZACION DE PAGO 05 CONTRATO 065 de 2021  DEL PERIODO DEL 1 AL 31 DE MAYO 2021 -OBJETO C.  HONORARIOS-ART No.424</t>
  </si>
  <si>
    <t>DS AUTORIZACION DE PAGO 06 CONTRATO 065 de 2021  DEL PERIODO DEL 1 AL 30 DE JUNIO 2021 -OBJETO C.  HONORARIOS-ART No.424</t>
  </si>
  <si>
    <t>DS AUTORIZACION DE PAGO 07 CONTRATO 065 de 2021  DEL PERIODO DEL 1 AL 31 DE JULIO 2021 -OBJETO C.  HONORARIOS-ART No.424</t>
  </si>
  <si>
    <t>DS AUTORIZACION DE PAGO 08 CONTRATO 065 de 2021  DEL PERIODO DEL 1 AL 31 DE AGOSTO 2021 -OBJETO C.  HONORARIOS-ART No.424</t>
  </si>
  <si>
    <t>DS AUTORIZACION DE PAGO 09 CONTRATO 065  DEL PERIODO SEPTIEMBRE  2021 -OBJETO C.  HONORARIOS-ART No.424</t>
  </si>
  <si>
    <t>DS AUTORIZACION DE PAGO 10 CONTRATO 065 de 2021  DEL PERIODO DEL 1 AL 31 DE OCTUBRE  2021 -OBJETO C.  HONORARIOS-ART No.424</t>
  </si>
  <si>
    <t>DS PAGO NUMERO 11  contrato No. 065 de 2021, conforme a la cláusula No. 9 del 1 al 30 de noviembre de 2021 OBJETO C ART 424.</t>
  </si>
  <si>
    <t>DS PAGO 12 OBJETO C Prestación de servicios profesionales por el contrato No 065 de 2021 conforme a la cláusula No 9 del período comprendido entre el 1 al 31 de diciembre de 2021</t>
  </si>
  <si>
    <t xml:space="preserve">CONTRATO  66/2021 LUIS ROBERTO CRUZ  </t>
  </si>
  <si>
    <t>DS AUTORIZACION DE PAGO 01 CONTRATO 066 de 2021  DEL PERIODO DEL 22 AL 31 DE ENERO 2021 -OBJETO C.  HONORARIOS-ART No.424</t>
  </si>
  <si>
    <t>DS AUTORIZACION DE PAGO 02 CONTRATO 066 de 2021  DEL PERIODO DEL 1 AL 28 DE FEBRERO 2021 -OBJETO H.  HONORARIOS-ART No.424</t>
  </si>
  <si>
    <t>DS AUTORIZACION DE PAGO 03 CONTRATO 066 de 2021  DEL PERIODO DEL 1 AL 31 DE MARZO 2021 -OBJETO C.  HONORARIOS-ART No.424</t>
  </si>
  <si>
    <t>DS AUTORIZACION DE PAGO 04 CONTRATO 066 de 2021  DEL PERIODO DEL 1 AL 30 DE ABRIL 2021 -OBJETO C.  HONORARIOS-ART No.424</t>
  </si>
  <si>
    <t>PAGO 05 DEL CONTRATO 066  DE 2021 - PERIODO DEL 01 AL 31 DE MAYO DE 2021 LINEA G-HONORARIOS ART. 424</t>
  </si>
  <si>
    <t>DS AUTORIZACION DE PAGO 06 CONTRATO 066 de 2021  DEL PERIODO DEL 1 AL 30 DE JUNIO  2021 -OBJETO C.  HONORARIOS-ART No.424</t>
  </si>
  <si>
    <t>DS AUTORIZACION DE PAGO 07 CONTRATO 066 de 2021  DEL PERIODO DEL 1 AL 31 DE JULIO  2021 -OBJETO C.  HONORARIOS-ART No.424</t>
  </si>
  <si>
    <t>DS PAGO 08 DEL CONTRATO 066  DE 2021 - PERIODO AGSOTO 2021 LINEA G-HONORARIOS ART. 424</t>
  </si>
  <si>
    <t>DS Legalización de los gastos a Ibague Cartagena y Tunja , realizadas en el mes de agosto contrato No 066 de 2021</t>
  </si>
  <si>
    <t>DS AUTORIZACION DE PAGO 09 DEL CONTRATO 066  DE 2021 - PERIODO DEL 1 AL 30 DE SEPTIEMBRE 2021 LINEA C-HONORARIOS ART. 424</t>
  </si>
  <si>
    <t>PAGO 10 DEL CONTRATO 066  DE 2021 - PERIODO 1 AL 31 OCTUBRE  2021 OBJETO C-HONORARIOS ART. 424</t>
  </si>
  <si>
    <t>DS AUTORIZACION DE PAGO 2 DESPLAZAMIENTO A LA CUIDAD DE MEDELLIN, ARMENIA CONTRATO 066 de 2021  DEL PERIODO DEL 31 DE AGOSTO 2021 -OBJETO G. ART No.424 PAGO 1 DE 2</t>
  </si>
  <si>
    <t>DS AUTORIZACION DE PAGO 2 DESPLAZAMIENTO A LA CUIDAD DE MEDELLIN, ARMENIA CONTRATO 066 de 2021 DEL PERIODO DEL 1 AL 24 DE SEPTIEMBRE 2021 -OBJETO C. ART No.424 PAGO 2 DE 2</t>
  </si>
  <si>
    <t xml:space="preserve"> DS AUTORIZACION DE PAGO NUMERO 3 Desplazamiento Pereira desplazamiento Villavicencio y desplazamiento Neiva contrato No 066 de 2021 art 424 PERIODO DE 1 A 30 DE NOVIEMBRE DE 2021 OBJETO C</t>
  </si>
  <si>
    <t>PAGO 11 DEL CONTRATO 066  DE 2021 - PERIODO 1 AL 30 de NOVIEMBRE 2021 OBJETO C-HONORARIOS ART 424</t>
  </si>
  <si>
    <t xml:space="preserve">CONTRATO  80/2021 JAIRO ALBERTO HUERTAS </t>
  </si>
  <si>
    <t>DS COMENTARIO 1, AUTORIZACIÓN DE PAGO 1 CONTRATO 080 DE 2021 - PERIODO 25 AL 31 DE ENERO 2021  - OBJETO C HONORARIOS ART. 424. SE APLICA EMBARGO DEL VALOR DEL PAGO MENOS 1 SMMLV Y EL RESTANTE EN LA QUINTA PARTE SEGÚN OFICIO 47981 DE AGOSTO 8 DE 2019.</t>
  </si>
  <si>
    <t>DS COMENTARIO 1, AUTORIZACIÓN DE PAGO 2 CONTRATO 080 DE 2021 - PERIODO 1 AL 28 DE FEBRERO 2021 - OBJETO C HONORARIOS ART. 424. SE APLICA EMBARGO DEL VALOR DEL PAGO MENOS 1 SMMLV Y EL RESTANTE EN LA QUINTA PARTE SEGÚN OFICIO 47981 DE</t>
  </si>
  <si>
    <t>DS COMENTARIO 1, AUTORIZACIÓN DE PAGO 3 CONTRATO 080 DE 2021 - PERIODO 1 AL 31 DE MARZO 2021 - OBJETO C HONORARIOS ART. 424. SE APLICA EMBARGO DEL VALOR DEL PAGO MENOS 1 SMMLV Y EL RESTANTE EN LA QUINTA PARTE SEGÚN OFICIO 47981 DE AGOSTO 8 DE 2019.</t>
  </si>
  <si>
    <t>COMENTARIO 1: DS AUTORIZACION DE PAGO 04 CONTRATO 080 DE 2021 - PERIODO DEL 01 AL 30 DE ABRIL 2021 - OBJETO C HONORARIOS ART.424</t>
  </si>
  <si>
    <t>DS AUTORIZACION DE PAGO 05 CONTRATO 080 DE 2021 - PERIODO DEL 01 AL 31 DE MAYO 2021 - OBJETO C HONORARIOS ART.424</t>
  </si>
  <si>
    <t>DS AUTORIZACION DE PAGO 06 CONTRATO 080 DE 2021 - PERIODO DEL 01 AL 30 DE JUNIO DE 2021  - OBJETO C HONORARIOS ART.424 COMENTARIO 1: COMENTARIO 2 COORDINADOR MÓNICA PATRICIA MATEUS MALAVER EXT 1237 -PROCESO EJECUTIVO No. 11001400302020160030600"</t>
  </si>
  <si>
    <t>"DS AUTORIZACION DE PAGO 06 CONTRATO 080 DE 2021 - PERIODO DEL 01 AL 30 DE JUNIO DE 2021  - OBJETO C HONORARIOS ART.424 COMENTARIO 1: COMENTARIO 2 COORDINADOR MÓNICA PATRICIA MATEUS MALAVER EXT 1237 -PROCESO EJECUTIVO No. 11001400302020160030600"</t>
  </si>
  <si>
    <t>"DS AUTORIZACION DE PAGO 07 CONTRATO 080 DE 2021 - PERIODO DEL 01 AL 31 DE JULIO DE 2021  - OBJETO C HONORARIOS ART.424 COMENTARIO 1:</t>
  </si>
  <si>
    <t>DS AUTORIZACION DE PAGO 08 CONTRATO 080 DE 2021 - PERIODO DE AGOSOTO DE 2021  - OBJETO C HONORARIOS ART.424</t>
  </si>
  <si>
    <t>"DS AUTORIZACION DE PAGO 09 CONTRATO 080 DE 2021 PERIODO DEL 01 AL 30 DE SEPTIEMBRE DE 2021  OBJETO C HONORARIOS ART 424"</t>
  </si>
  <si>
    <t>DS AUTORIZACION DE PAGO 10 CONTRATO 080 DE 2021 - PERIODO DEL 1 AL 31 DE OCTUBRE DE 2021  - OBJETO C HONORARIOS ART.424</t>
  </si>
  <si>
    <t>DS AUTORIZACION DE PAGO 11CONTRATO 080 DE 2021 - PERIODO DEL01 AL 30 DE noviembre DE 2021 OBJETO C HONORARIOS ART 424</t>
  </si>
  <si>
    <t>DS PAGO 12 OBJETO C contrato No 80 de 2021 conforme a la cláusula No 9 del período DE 01 al 31 de diciembre de 2021 COMENTARIO 1: COMENTARIO 2 COORDINADOR MÓNICA PATRICIA MATEUS MALAVER EXT 1237 -PROCESO EJECUTIVO No. 11001400302020160030600"</t>
  </si>
  <si>
    <t xml:space="preserve">CONTRATO  104/2021 JUAN CARLOS CALDERON </t>
  </si>
  <si>
    <t>DS AUTORIZACION DE PAGO 01 CONTRATO 104 de 2021  DEL PERIODO DEL 26 AL 31 DE ENERO 2021 -OBJETO C.  HONORARIOS-ART No.424</t>
  </si>
  <si>
    <t>DS AUTORIZACION DE PAGO 02 CONTRATO 104 de 2021  DEL PERIODO DEL 1 AL 28 DE FEBRERO 2021 -OBJETO H.  HONORARIOS-ART No.424</t>
  </si>
  <si>
    <t>DS AUTORIZACION DE PAGO 03 CONTRATO 104 de 2021  DEL PERIODO DEL 1 AL 31 DE MARZO 2021 -OBJETO C.  HONORARIOS-ART No.424</t>
  </si>
  <si>
    <t>DS AUTORIZACION DE PAGO 04 CONTRATO 104 de 2021  DEL PERIODO DEL 1 AL 30 DE ABRIL 2021 -OBJETO H.  HONORARIOS-ART No.424</t>
  </si>
  <si>
    <t>DS AUTORIZACION DE PAGO 05 CONTRATO 104 de 2021  DEL PERIODO DEL 1 AL 31 DE MAYO 2021 -OBJETO H.  HONORARIOS-ART No.424</t>
  </si>
  <si>
    <t>DS AUTORIZACION DE PAGO 06 CONTRATO 104 de 2021  DEL PERIODO DEL 1 AL 30 DE JUNIO 2021 -OBJETO H.  HONORARIOS-ART No.424</t>
  </si>
  <si>
    <t>DS AUTORIZACION DE PAGO 07 CONTRATO 104 de 2021  DEL PERIODO DEL 1 AL 31 DE JULIO 2021 -OBJETO H.  HONORARIOS-ART No.424</t>
  </si>
  <si>
    <t>DS AUTORIZACION DE PAGO 08 CONTRATO 104 de 2021  DEL PERIODO DEL 1 AL 31 DE AGOSTO 2021 -OBJETO H.  HONORARIOS-ART No.424</t>
  </si>
  <si>
    <t>PAGO 09 DEL CONTRATO 104  DE 2021 - PERIODO SEPTIEMBRE DE 2021 OBJETO C- HONORARIOS ART. 424</t>
  </si>
  <si>
    <t>DS AUTORIZACION DE PAGO 10 CONTRATO 104 de 2021  DEL PERIODO DEL 1 AL 31 DE OCTUBRE  2021 -OBJETO H.  HONORARIOS-ART No.424</t>
  </si>
  <si>
    <t>DS AUTORIZACION DE PAGO 11 CONTRATO 104 de 2021  DEL PERIODO DEL 1 A 30 DE NOVIEMBRE 2021 OBJETO C  HONORARIOS ART No 424</t>
  </si>
  <si>
    <t>DS PAGO 12 OBJETO C Prestación de servicios profesionales por el contrato No 104 de 2021 conforme a la cláusula No 9 del período comprendido entre el 1 y el 31 de diciembre de 2021</t>
  </si>
  <si>
    <t xml:space="preserve">CONTRATO  107/2021 JOSE WILLIAM ALVARADO </t>
  </si>
  <si>
    <t>DS AUTORIZACION DE PAGO 01 CONTRATO 107 de 2021  DEL PERIODO DEL 28 AL 31 DE ENERO 2021 -OBJETO G.  HONORARIOS-ART No.424</t>
  </si>
  <si>
    <t>DS AUTORIZACION DE PAGO 02 CONTRATO 107 de 2021  DEL PERIODO DEL 01 AL 28 DE FEBRERO 2021 -OBJETO G.  HONORARIOS-ART No.424</t>
  </si>
  <si>
    <t>DS AUTORIZACION DE PAGO 03 CONTRATO 107 de 2021  DEL PERIODO DEL 1 AL 31 DE MARZO 2021 -OBJETO G.  HONORARIOS-ART No.424</t>
  </si>
  <si>
    <t>DS AUTORIZACION DE PAGO 04 CONTRATO 107 de 2021  DEL PERIODO DEL 1 AL 30 DE ABRIL 2021 -OBJETO G.  HONORARIOS-ART No.424</t>
  </si>
  <si>
    <t>DS AUTORIZACION DE PAGO 05 CONTRATO 107 de 2021  DEL PERIODO DEL 1 AL 31 DE MAYO 2021 -OBJETO G.  HONORARIOS-ART No.424</t>
  </si>
  <si>
    <t>DS AUTORIZACION DE PAGO 06 CONTRATO 107 de 2021  DEL PERIODO DEL 1 AL 30 DE JUNIO 2021 -OBJETO G.  HONORARIOS-ART No.424</t>
  </si>
  <si>
    <t>DS AUTORIZACION DE PAGO 07 CONTRATO 107 de 2021  DEL PERIODO DEL 1 AL 31 DE JULIO 2021 -OBJETO G.  HONORARIOS-ART No.424</t>
  </si>
  <si>
    <t>DS AUTORIZACION DE PAGO 08 CONTRATO 107 de 2021  DEL PERIODO DEL 1 AL 31 DE AGOSTO 2021 -OBJETO G.  HONORARIOS-ART No.424</t>
  </si>
  <si>
    <t>DS AUTORIZACION DE PAGO 09 CONTRATO 107 de 2021  DEL PERIODO DEL 1 AL 30 DE SEPTIEMBRE 2021 -OBJETO G.  HONORARIOS-ART No.424</t>
  </si>
  <si>
    <t>DS AUTORIZACION DE PAGO 10 CONTRATO 107 DE 2021 DEL PERIODO 1 A 31 DE OCTUBRE DE 2021 -OBJETO G.  HONORARIOS-ART No.424</t>
  </si>
  <si>
    <t>DS AUTORIZACION DE PAGO 11 CONTRATO 107 DE 2021 DEL PERIODO 1 A 30 DE NOVIEMBRE DE 2021 OBJETO G HONORARIOS ART No 424</t>
  </si>
  <si>
    <t>DS AUTORIZACION DE PAGO 12 CONTRATO 107 DE 2021 DEL PERIODO 1 A 31 DE DICIEMBRE DE 2021 OBJETO G HONORARIOS-ART No 424</t>
  </si>
  <si>
    <t>CONTRATO  131/2021 MONICA VIVIANA GUEVARA</t>
  </si>
  <si>
    <t>DS AUTORIZACION DE PAGO 01 CONTRATO 131 de 2021  DEL PERIODO DEL 28 AL 31 DE ENERO 2021 -OBJETO G.  HONORARIOS-ART No.424</t>
  </si>
  <si>
    <t>DS AUTORIZACION DE PAGO 02 CONTRATO 131 de 2021  DEL PERIODO DEL 01 AL 28 DE FEBRERO 2021 -OBJETO G.  HONORARIOS-ART No.424</t>
  </si>
  <si>
    <t>DS AUTORIZACION DE PAGO 03 CONTRATO 131 de 2021  DEL PERIODO DEL 01 AL 31 DE MARZO 2021 -OBJETO G.  HONORARIOS-ART No.424</t>
  </si>
  <si>
    <t>DS AUTORIZACION DE PAGO 04 CONTRATO 131 de 2021  DEL PERIODO DEL 01 AL 30 DE ABRIL 2021 -OBJETO G.  HONORARIOS-ART No.424</t>
  </si>
  <si>
    <t>DS AUTORIZACION DE PAGO 5 CONTRATO 131 DEL PERIODO DEL 01 AL 31 DE MAYO  2021 -OBJETO G.  HONORARIOS-ART No.424</t>
  </si>
  <si>
    <t>DS AUTORIZACION DE PAGO 06 CONTRATO 131 de 2021  DEL PERIODO DEL 01 AL 30 DE JUNIO  2021 -OBJETO G.  HONORARIOS-ART No.424</t>
  </si>
  <si>
    <t>DS AUTORIZACION DE PAGO 07 CONTRATO 131 de 2021  DEL PERIODO DEL 01 AL 31 DE JULIO  2021 -OBJETO G.  HONORARIOS-ART No.424</t>
  </si>
  <si>
    <t>DS AUTORIZACION DE PAGO 8 CONTRATO 131 DEL PERIODO AGOSTO 2021 -OBJETO G.  HONORARIOS-ART No.424</t>
  </si>
  <si>
    <t>AUTORIZACION DE PAGO 9 CONTRATO 131 DEL PERIODO SEPTIEMBRE 2021 -OBJETO G.  HONORARIOS-ART No.424</t>
  </si>
  <si>
    <t>DS AUTORIZACION DE PAGO 10 CONTRATO131 DEL PERIODO DEL 1 A 31 DE OCTUBRE -OBJETO G.  HONORARIOS-ART No.424</t>
  </si>
  <si>
    <t>DS PAGO NUMERO 11 contrato No. 131 de 2021, conforme a la cláusula No. 9, del período entre el 01 y el 30 de NOVIEMBRE de 2021 OBJETO G ART 424</t>
  </si>
  <si>
    <t>DS PAGO 12 OBJETO C Prestación de servicios profesionales por el contrato No 131 de 2021 conforme a la cláusula No 9 del período comprendido entre el 01 y el 31 de DICIEMBRE de 2021</t>
  </si>
  <si>
    <t xml:space="preserve">CONTRATO  142/2021 ADRIANA PATRICIA AREVALO </t>
  </si>
  <si>
    <t>DS AUTORIZACION DE PAGO 01 CONTRATO 0142 de 2021  DEL PERIODO DEL 28 AL 31 DE ENERO 2021 -OBJETO G.  HONORARIOS-ART No.424</t>
  </si>
  <si>
    <t>DS AUTORIZACION DE PAGO 02 CONTRATO 142 de 2021  DEL PERIODO DEL 1 AL 28 DE FEBRERO 2021 -OBJETO H.  HONORARIOS-ART No.424</t>
  </si>
  <si>
    <t>DS AUTORIZACION DE PAGO 03 CONTRATO 142 de 2021  DEL PERIODO DEL 1 AL 31 DE MARZO 2021 -OBJETO G.  HONORARIOS-ART No.424</t>
  </si>
  <si>
    <t>DS AUTORIZACION DE PAGO 04 CONTRATO 142 de 2021  DEL PERIODO DEL 1 AL 30 DE ABRIL 2021 -OBJETO G.  HONORARIOS-ART No.424</t>
  </si>
  <si>
    <t>DS AUTORIZACION DE PAGO 05 CONTRATO 142 de 2021  DEL PERIODO DEL 1 AL 31 DE MAYO 2021 -OBJETO G.  HONORARIOS-ART No.424</t>
  </si>
  <si>
    <t>DS AUTORIZACION DE PAGO 06 CONTRATO 142 de 2021  DEL PERIODO DEL 1 AL 30 DE JUNIO 2021 -OBJETO G.  HONORARIOS-ART No.424</t>
  </si>
  <si>
    <t>DS AUTORIZACION DE PAGO 07 CONTRATO 142 de 2021  DEL PERIODO DEL 1 AL 31 DE JULIO 2021 -OBJETO G.  HONORARIOS-ART No.424</t>
  </si>
  <si>
    <t>DS AUTORIZACION DE PAGO 8 CONTRATO 142 DE 2021 PEIRODO DE AGOSTO 2021 -OBJETO  G.  HONORARIOS-ART No.424</t>
  </si>
  <si>
    <t>DS AUTORIZACION DE AUTORIZACION DE PAGO 9 CONTRATO 142 DE 2021 PEIRODO DEL 1 AL 30 DE SEPTIEMBRE DEL 2021 -OBJETO  G.  HONORARIOS-ART No.424</t>
  </si>
  <si>
    <t>DS AUTORIZACION DE PAGO 10 CONTRATO 142 de 2021  DEL PERIODO DEL 1 AL 31 DE OCTUBRE  2021 -OBJETO G.  HONORARIOS-ART No.424</t>
  </si>
  <si>
    <t>DS PAGO OBJETO G Prestación de servicios profesionales por el contrato No. 142 de 2021 conforme a la cláusula No. 9 del período comprendido entre el 1 y 30 de noviembre de 2021</t>
  </si>
  <si>
    <t>DS PAGO 12 OBJETO G Prestación de servicios profesionales por el contrato No 142 de 2021 conforme a la cláusula No 9 del período comprendido entre el 1 y 31 de diciembre de 2021</t>
  </si>
  <si>
    <t>CONTRATO  143/2021 YOLANDA BELTRAN BARRERA</t>
  </si>
  <si>
    <t>DS AUTORIZACION DE PAGO 01 CONTRATO 143 de 2021  DEL PERIODO DEL 27 AL 31 DE ENERO 2021 -OBJETO G.  HONORARIOS-ART No.424</t>
  </si>
  <si>
    <t>DS AUTORIZACION DE PAGO 02 CONTRATO 143  de 2021  DEL PERIODO DEL 01 AL 28 DE FEBRERO 2021 -OBJETO C.  HONORARIOS-ART No.424</t>
  </si>
  <si>
    <t>DS AUTORIZACION DE PAGO 03 CONTRATO 143  de 2021  DEL PERIODO DEL 01 AL 31 DE MARZO 2021 -OBJETO G.  HONORARIOS-ART No.424</t>
  </si>
  <si>
    <t>DS AUTORIZACION DE PAGO 04 CONTRATO 143  de 2021  DEL PERIODO DEL 01 AL 30 DE ABRIL 2021 -OBJETO G.  HONORARIOS-ART No.424</t>
  </si>
  <si>
    <t>DS AUTORIZACION DE PAGO 05 CONTRATO 143  de 2021  DEL PERIODO DEL 01 AL 31 DE MAYO 2021 -OBJETO G.  HONORARIOS-ART No.424</t>
  </si>
  <si>
    <t>DS AUTORIZACION DE PAGO 06 CONTRATO 143  de 2021  DEL PERIODO DEL 01 AL 30 DE JUNIO 2021 -OBJETO G.  HONORARIOS-ART No.424</t>
  </si>
  <si>
    <t>DS AUTORIZACION DE PAGO 07 CONTRATO 143  de 2021  DEL PERIODO DEL 01 AL 31 DE JULIO 2021 -OBJETO G.  HONORARIOS-ART No.424</t>
  </si>
  <si>
    <t>DS PAGO 8 DE HONORARIOS DEL  CONTRATO 143  DE 2021 - PERIODO DE AGOSTO DE 2021 - OBJETO -G</t>
  </si>
  <si>
    <t>PAGO 9 DE HONORARIOS DEL  CONTRATO 143  DE 2021 - PERIODO DEL 1 AL 30 DE SEPTIEMBRE DE 2021 - OBJETO -G</t>
  </si>
  <si>
    <t>DS PAGO 10 DE HONORARIOS DEL  CONTRATO 143  DE 2021 - PERIODO DEL 1 AL 31 DE OCTUBRE DE 2021 - OBJETO -G</t>
  </si>
  <si>
    <t>DS AUTORIZACION DE PAGO 11 CONTRATO 143 de 2021  DEL PERIODO DEL1 A 30 DE NOVIEMBRE DE 2021 OBJETO GHONORARIOS-ART No 424</t>
  </si>
  <si>
    <t>DS PAGO 12 OBJETO G Prestación de servicios profesionales por el contrato No 143 de 2021 conforme a la cláusula No 4 del período comprendido entre el 01 y el 31 de diciembre de 2021</t>
  </si>
  <si>
    <t>CONTRATO  75/2021 EDUARDO ENRIQUE ESTRADA</t>
  </si>
  <si>
    <t>DS AUTORIZACION DE PAGO 01 CONTRATO 075 de 2021  DEL PERIODO DEL 22 AL 31 DE ENERO 2021 -OBJETO G.  HONORARIOS-ART No.424</t>
  </si>
  <si>
    <t>DS AUTORIZACION DE PAGO 02 CONTRATO 075  de 2021  DEL PERIODO DEL 01 AL 28 DE FEBRERO 2021 -OBJETO H.  HONORARIOS-ART No.424</t>
  </si>
  <si>
    <t>AUTORIZACION DE PAGO 03 CONTRATO 075  de 2021  DEL PERIODO DEL 01 AL 31 DE MARZO 2021 -OBJETO H.  HONORARIOS-ART No.424</t>
  </si>
  <si>
    <t>DS AUTORIZACION DE PAGO 04 CONTRATO 075 de 2021  DEL PERIODO DEL 01 AL 30 DE ABRIL 2021 -OBJETO G.  HONORARIOS-ART No.424</t>
  </si>
  <si>
    <t>DS AUTORIZACION DE PAGO 05 CONTRATO 075 de 2021  DEL PERIODO DEL 01 AL 31 DE MAYO 2021 -OBJETO H.  HONORARIOS-ART No.424</t>
  </si>
  <si>
    <t>DS AUTORIZACION DE PAGO 06 CONTRATO 075 de 2021  DEL PERIODO DEL 01 AL 30 DE JUNIO 2021 -OBJETO H.  HONORARIOS-ART No.424</t>
  </si>
  <si>
    <t>DS AUTORIZACION DE PAGO 07 CONTRATO 075 de 2021  DEL PERIODO DEL 01 AL 31 DE JULIO 2021 -OBJETO H.  HONORARIOS-ART No.424</t>
  </si>
  <si>
    <t>DS AUTORIZACION DE PAGO 08 CONTRATO 075 de 2021  DEL PERIODO DEL 01 AL 31 DE AGOSTO 2021 -OBJETO H.  HONORARIOS-ART No.424 F.EEEG-9</t>
  </si>
  <si>
    <t>DS AUTORIZACION DE PAGO 09 CONTRATO 075 de 2021  DEL PERIODO DEL 01 AL 30 DE SEPTIEMBRE 2021 -OBJETO H.  HONORARIOS-ART No.424 F.EEEG-13</t>
  </si>
  <si>
    <t>DS AUTORIZACION DE PAGO 10 CONTRATO 075 de 2021  DEL PERIODO DEL 01 AL 31 DE OCTUBRE 2021 -OBJETO H.  HONORARIOS-ART No.424 F.EEEG-18</t>
  </si>
  <si>
    <t>DS AUTORIZACION DE PAGO 11 CONTRATO 075 de 2021  DEL PERIODO DEL 01 AL 30 de noviembre 2021  OBJETO H  HONORARIOS ART No 424 F EEEG 24</t>
  </si>
  <si>
    <t>DS AUTORIZACION DE PAGO 12 CONTRATO 075 de 2021  DEL PERIODO DEL 01 AL 31 DE DICIEMBRE 2021 -OBJETO H.  HONORARIOS-ART No.424 .</t>
  </si>
  <si>
    <t>CONTRATO  90/2021 RUTH CONSUELO SUAREZ TORRES</t>
  </si>
  <si>
    <t>DS AUTORIZACION DE PAGO 01 CONTRATO 090 de 2021  DEL PERIODO DEL 22 AL 31 DE ENERO 2021 -OBJETO G.  HONORARIOS-ART No.425</t>
  </si>
  <si>
    <t>DS AUTORIZACION DE PAGO 02 CONTRATO 090 de 2021  DEL PERIODO DEL 1 AL 28 DE FEBRERO 2021 -OBJETO G.  HONORARIOS-ART No.425</t>
  </si>
  <si>
    <t>DS AUTORIZACION DE PAGO 03 CONTRATO 090 de 2021  DEL PERIODO DEL 1 AL 31 DE MARZO 2021 -OBJETO G.  HONORARIOS-ART No.425</t>
  </si>
  <si>
    <t>DS AUTORIZACION DE PAGO 04 CONTRATO 090 de 2021  DEL PERIODO DEL 1 AL 30 DE ABRIL 2021 -OBJETO G.  HONORARIOS-ART No.425</t>
  </si>
  <si>
    <t>DS AUTORIZACION DE PAGO 05 CONTRATO 090 de 2021  DEL PERIODO DEL 1 AL 31 DE MAYO 2021 -OBJETO G.  HONORARIOS-ART No.425</t>
  </si>
  <si>
    <t>DS AUTORIZACION DE PAGO 06 CONTRATO 090 de 2021  DEL PERIODO DEL 1 AL 30 DE JUNIO 2021 -OBJETO G.  HONORARIOS-ART No.424</t>
  </si>
  <si>
    <t>DS AUTORIZACION DE PAGO 07 CONTRATO 090 de 2021  DEL PERIODO DEL 1 AL 31 DE JULIO 2021 -OBJETO G.  HONORARIOS-ART No.424</t>
  </si>
  <si>
    <t>DS PAGO 08 DE HONORARIOS DEL CONTRATO 090 DE 2021 - PERIODO AGOSTO DE 2021 - ART 424 - OBJETO C</t>
  </si>
  <si>
    <t>DS PAGO 09 DE HONORARIOS DEL CONTRATO 090 DE 2021 - PERIODO DEL 1 AL 30 DE SEPTIEMBRE DE 2021 - ART 424 - OBJETO G</t>
  </si>
  <si>
    <t>DS PAGO 10 DE HONORARIOS DEL CONTRATO 090 DE 1 A 31 DE OCTUBRE  - ART 424 - OBJETO G</t>
  </si>
  <si>
    <t>DS PAGO 11 OBJETO G contrato No. 090 de 2021, conforme a lacláusula No. 4 , del período comprendido entre el 1 y el 30 de Noviembre del 2021</t>
  </si>
  <si>
    <t>DS PAGO 12 OBJETO G Prestación de servicios profesionales por el contrato No 090 de 2021 conforme a la cláusula No 4 del período comprendido entre el 1 y el 31 de Diciembre del 2021</t>
  </si>
  <si>
    <t>CONTRATO  157/2021 LUZ ANGELA GONZALEZ</t>
  </si>
  <si>
    <t>DS AUTORIZACION DE PAGO 01 CONTRATO 157 de 2021  DEL PERIODO DEL 29 AL 31 DE ENERO 2021 -OBJETO G.  HONORARIOS-ART No.424</t>
  </si>
  <si>
    <t>DS AUTORIZACION DE PAGO 02 CONTRATO 157 de 2021  DEL PERIODO DEL 1 AL 28 DE FEBRERO 2021 -OBJETO H.  HONORARIOS-ART No.424</t>
  </si>
  <si>
    <t>DS AUTORIZACION DE PAGO 03 CONTRATO 157 de 2021  DEL PERIODO DEL 01 AL 31 DE MARZO 2021 -OBJETO G.  HONORARIOS-ART No.424</t>
  </si>
  <si>
    <t>DS AUTORIZACION DE PAGO 04 CONTRATO 157 de 2021  DEL PERIODO DEL 01 AL 30 DE ABRIL 2021 -OBJETO G.  HONORARIOS-ART No.424</t>
  </si>
  <si>
    <t>DS AUTORIZACION DE PAGO 05 CONTRATO 157 de 2021  DEL PERIODO DEL 01 AL 31 DE MAYO 2021 -OBJETO G.  HONORARIOS-ART No.424</t>
  </si>
  <si>
    <t>DS AUTORIZACION DE PAGO 06 CONTRATO 157 de 2021  DEL PERIODO DEL 01 AL 30 DE JUNIO 2021 -OBJETO G.  HONORARIOS-ART No.424</t>
  </si>
  <si>
    <t>DS AUTORIZACION DE PAGO 07 CONTRATO 157 de 2021  DEL PERIODO DEL 01 AL 31 DE JULIO 2021 -OBJETO G.  HONORARIOS-ART No.424</t>
  </si>
  <si>
    <t>DS AUTORIZACION DE PAGO 08 CONTRATO 157 de 2021  DEL PERIODO DEL 01 AL 31 DE AGOSTO 2021 -OBJETO G.  HONORARIOS-ART No.424</t>
  </si>
  <si>
    <t>DS AUTORIZACION DE PAGO 09 CONTRATO 157 de 2021  DEL PERIODO DEL 01 AL 30 DE SEPTIEMBRE 2021 -OBJETO G.  HONORARIOS-ART No.424</t>
  </si>
  <si>
    <t>DS AUTORIZACION DE PAGO 10 CONTRATO 157 de 2021  DEL PERIODO DEL 01 AL 31 DE OCTUBRE 2021 -OBJETO G.  HONORARIOS-ART No.424</t>
  </si>
  <si>
    <t>DS PAGO NUMERO 11 Prestación de servicios profesionales por el contrato No. 157 de 2021, conforme a la cláusula No. 9, del período comprendido entre el 01 y el 30 de Noviembre de 2021 OBJETO G ART 424.</t>
  </si>
  <si>
    <t>DS PAGO 12 al contrato No. 157 de 2021, del período comprendido entre el 01 y el 31 de Diciembre de 2021 OBJETO G ART 424.</t>
  </si>
  <si>
    <t>CONTRATO  33/2021 GRISELDA USECHE</t>
  </si>
  <si>
    <t>DS AUTORIZACION DE PAGO 01 CONTRATO 033 de 2021  DEL PERIODO DEL 18 AL 31 DE ENERO 2021 -OBJETO H.  HONORARIOS-ART No.424</t>
  </si>
  <si>
    <t>DS AUTORIZACION DE PAGO 02 CONTRATO 033 de 2021  DEL PERIODO DEL 01 AL 28 DE FEBRERO 2021 -OBJETO H.  HONORARIOS-ART No.424</t>
  </si>
  <si>
    <t>DS AUTORIZACION DE PAGO 03 CONTRATO 033 de 2021  DEL PERIODO DEL 01 AL 31 DE MARZO 2021 -OBJETO H.  HONORARIOS-ART No.424</t>
  </si>
  <si>
    <t>DS AUTORIZACION DE PAGO 04 CONTRATO 033 de 2021  DEL PERIODO DEL 01 AL 30 DE ABRIL 2021 -OBJETO H.  HONORARIOS-ART No.424</t>
  </si>
  <si>
    <t>DS AUTORIZACION DE PAGO 05 CONTRATO 033 de 2021  DEL PERIODO DEL 01 AL 31 DE MAYO 2021 -OBJETO H.  HONORARIOS-ART No.424</t>
  </si>
  <si>
    <t>DS AUTORIZACION DE PAGO 06 CONTRATO 033 de 2021  DEL PERIODO DEL 01 AL 30 JUNIO DE  2021 -OBJETO H.  HONORARIOS-ART No.424</t>
  </si>
  <si>
    <t>DS AUTORIZACION DE PAGO 07 CONTRATO 033 de 2021  DEL PERIODO DEL 01 AL 31 JULIO DE  2021 -OBJETO H.  HONORARIOS-ART No.424</t>
  </si>
  <si>
    <t>DS AUTORIZACION DE PAGO 08 CONTRATO 033 de 2021  DEL PERIODO DEL 01 AL 31 AGOSTO DE  2021 -OBJETO H.  HONORARIOS-ART No.424</t>
  </si>
  <si>
    <t>CONTRATO  256/2021 ALEXANDER  RAMIREZ RAMIREZ</t>
  </si>
  <si>
    <t>DS AUTORIZACION DE PAGO 01 CONTRATO 256 de 2021  DEL PERIODO DEL 11 AL 28 DE FEBRERO 2021 -OBJETO A.  HONORARIOS-ART No.424</t>
  </si>
  <si>
    <t>DS AUTORIZACION DE PAGO 02 CONTRATO 256 de 2021  DEL PERIODO DEL 01 AL 31 DE MARZO 2021 -OBJETO H.  HONORARIOS-ART No.424</t>
  </si>
  <si>
    <t>DS AUTORIZACION DE PAGO 03 CONTRATO 256 de 2021  DEL PERIODO DEL 01 AL 30 DE ABRIL 2021 -OBJETO H.  HONORARIOS-ART No.424</t>
  </si>
  <si>
    <t>DS AUTORIZACION DE PAGO 4 CONTRATO 256  DEL PERIODO  DEL 01 AL 31 MAYO 2021 -OBJETO H.  HONORARIOS-ART No.424</t>
  </si>
  <si>
    <t>DS AUTORIZACION DE PAGO 05 CONTRATO 256 de 2021  DEL PERIODO DEL 01 AL 30 DE JUNIO 2021 -OBJETO H.  HONORARIOS-ART No.424</t>
  </si>
  <si>
    <t>DS AUTORIZACION DE PAGO 06 CONTRATO 256 de 2021  DEL PERIODO DEL 01 AL 31 DE JULIO 2021 -OBJETO H.  HONORARIOS-ART No.424</t>
  </si>
  <si>
    <t>DS AUTORIZACION DE PAGO 07 CONTRATO 256 de 2021  DEL PERIODO DEL 01 AL 31 DE AGOSTO 2021 -OBJETO H.  HONORARIOS-ART No.424</t>
  </si>
  <si>
    <t>DS AUTORIZACION DE PAGO 08 CONTRATO 256 de 2021  DEL PERIODO DEL 01 AL 30 DE SEPTIEMBRE 2021 -OBJETO H.  HONORARIOS-ART No.424</t>
  </si>
  <si>
    <t>DS AUTORIZACION DE PAGO 9 CONTRATO 256  DEL PERIODO  1 A 31 DE OCTUBRE DE 2021 -OBJETO H.  HONORARIOS-ART No.424</t>
  </si>
  <si>
    <t>DS PAGO 10 CONTRATO 256  DEL PERIODO  1 A 30 DE NOVIEMBRE DE 2021 -OBJETO H.  HONORARIOS-ART No.424</t>
  </si>
  <si>
    <t>DS PAGO 11 CONTRATO 256  DEL PERIODO  1 A 31 DE DICIEMBRE DE 2021 -OBJETO H.  HONORARIOS-ART No.424</t>
  </si>
  <si>
    <t>CONTRATO  304/2021 ANA MARIA LOPEZ CORONADO</t>
  </si>
  <si>
    <t>DS AUTORIZACION DE PAGO 01 CONTRATO 304 de 2021  DEL PERIODO DEL 18 AL 28 DE FEBRERO 2021 -OBJETO H.  HONORARIOS-ART No.424</t>
  </si>
  <si>
    <t>DS AUTORIZACION DE PAGO 02 CONTRATO 304 de 2021  DEL PERIODO DEL 01 AL 31 DE MARZO 2021 -OBJETO G.  HONORARIOS-ART No.424</t>
  </si>
  <si>
    <t>DS AUTORIZACION DE PAGO 03 CONTRATO 304 de 2021  DEL PERIODO DEL 01 AL 30 DE ABRIL 2021 -OBJETO H.  HONORARIOS-ART No.424</t>
  </si>
  <si>
    <t>DS AUTORIZACION DE PAGO 04 CONTRATO 304 de 2021  DEL PERIODO DEL 01 AL 31 DE MAYO  2021 -OBJETO G.  HONORARIOS-ART No.424</t>
  </si>
  <si>
    <t>DS AUTORIZACION DE PAGO 05 CONTRATO 304 de 2021  DEL PERIODO DEL 01 AL 30 DE JUNIO  2021 -OBJETO G.  HONORARIOS-ART No.424</t>
  </si>
  <si>
    <t>DS AUTORIZACION DE PAGO 03 CONTRATO 304 de 2021  DEL PERIODO DEL 01 AL 31 DE JULIO  2021 -OBJETO G.  HONORARIOS-ART No.424</t>
  </si>
  <si>
    <t>DS AUTORIZACION DE PAGO 07 CONTRATO 304 de 2021  DEL PERIODO DEL 01 AL 31 DE AGSOTO 2021 -OBJETO H.  HONORARIOS-ART No.424</t>
  </si>
  <si>
    <t>DS AUTORIZACION DE PAGO 08 CONTRATO 304 de 2021  DEL PERIODO DEL 01 AL 30 DE SEPTIEMBRE 2021 -OBJETO G.  HONORARIOS-ART No.424</t>
  </si>
  <si>
    <t>DS AUTORIZACION DE PAGO 09 CONTRATO 304 de 2021  DEL PERIODO DEL 01 AL 31 DE OCTUBRE  2021 -OBJETO G.  HONORARIOS-ART No.424</t>
  </si>
  <si>
    <t>DS AUTORIZACION DE PAGO 10 CONTRATO 304 de 2021  DEL PERIODO DEL 01 AL 30 DENOVIEMBRE 2021 OBJETO G  HONORARIOS ART No 424</t>
  </si>
  <si>
    <t>DS PAGO 11 OBJETO G CONTRATO 304 DE 2021 PERIODO DE 1 A 31 DE DICIEMBRE DE 2021</t>
  </si>
  <si>
    <t>CONTRATO  254/2021 ANDRES FELIPE VILLAMARIN SALAZAR</t>
  </si>
  <si>
    <t>DS AUTORIZACION DE PAGO 01 CONTRATO 254  de 2021  DEL PERIODO DEL 10 AL 28 DE FEBRERO 2021 -OBJETO H.  HONORARIOS-ART No.424</t>
  </si>
  <si>
    <t>DS AUTORIZACION DE PAGO 02 CONTRATO 254  de 2021  DEL PERIODO DEL 1 AL 31 DE MARZO 2021 -OBJETO H.  HONORARIOS-ART No.424</t>
  </si>
  <si>
    <t>DS AUTORIZACION DE PAGO 03 CONTRATO 254  de 2021  DEL PERIODO DEL 1 AL 30 DE ABRIL 2021 -OBJETO H.  HONORARIOS-ART No.424</t>
  </si>
  <si>
    <t>DS AUTORIZACION DE PAGO 04 CONTRATO 254  de 2021  DEL PERIODO DEL 1 AL 31 DE MAYO 2021 -OBJETO H.  HONORARIOS-ART No.424</t>
  </si>
  <si>
    <t>DS AUTORIZACION DE PAGO 05 CONTRATO 254  de 2021  DEL PERIODO DEL 1 AL 30 DE JUNIO 2021 -OBJETO H.  HONORARIOS-ART No.424</t>
  </si>
  <si>
    <t>DS AUTORIZACION DE PAGO 06 CONTRATO 254  de 2021  DEL PERIODO DEL 1 AL 31 DE JULIO 2021 -OBJETO H.  HONORARIOS-ART No.424</t>
  </si>
  <si>
    <t>DS AUTORIZACION DE PAGO 07 CONTRATO 254  de 2021  DEL PERIODO DEL 01 AL 31 DE AGOSTO 2021 OBJETO H  HONORARIOS ART No 424</t>
  </si>
  <si>
    <t>DS AUTORIZACION DE PAGO 08 CONTRATO 254  de 2021  DEL PERIODO DEL 01 AL 30 DE SEPTIEMBRE 2021 OBJETO H  HONORARIOS ART No 424</t>
  </si>
  <si>
    <t>DS AUTORIZACION DE PAGO 9 CONTRATO 254  de 2021  DEL PERIODO DEL 1 A 31 DE OCTUBRE DE 2021 -OBJETO H.  HONORARIOS-ART No.424</t>
  </si>
  <si>
    <t>DS  PAGO 10 CONTRATO 254  de 2021  DEL PERIODO DEL 1 A 30 DE NOVIEMBRE DE 2021 -OBJETO H.  HONORARIOS-ART No.424</t>
  </si>
  <si>
    <t>DS  PAGO 11 CONTRATO 254  de 2021  DEL PERIODO DEL 1 A 31 DE DICIEMBRE DE 2021 -OBJETO H.  HONORARIOS-ART No.424</t>
  </si>
  <si>
    <t>CONTRATO  309/2021 ANGELA YOLIMA NOVA MOLANO</t>
  </si>
  <si>
    <t>DS PAGO 1 DE HONORARIOS DEL CONTRATO 309  DE 2021 - PERIODO 19 AL 28 DE FEBRERO   DE 2020 - OBJETO -G - HONORARIOS ART.424</t>
  </si>
  <si>
    <t>DS AUTORIZACION PAGO 2 DE HONORARIOS DEL CONTRATO 309  DE 2021 - PERIODO 1 AL 31 DE MARZO   DE 2021 - OBJETO -G - HONORARIOS ART.424</t>
  </si>
  <si>
    <t>DS AUTORIZACION PAGO 3 DE HONORARIOS DEL CONTRATO 309  DE 2021 - PERIODO 1 AL 30 DE ABRIL DE 2021 - OBJETO -G - HONORARIOS ART.424</t>
  </si>
  <si>
    <t>DS AUTORIZACION PAGO 4 DE HONORARIOS DEL CONTRATO 309  DE 2021 - PERIODO 1 AL 31 DE MAYO DE 2021 - OBJETO -G - HONORARIOS ART.424</t>
  </si>
  <si>
    <t>DS AUTORIZACION PAGO 5 DE HONORARIOS DEL CONTRATO 309  DE 2021 - PERIODO 1 AL 30 DE JUNIO DE 2021 - OBJETO -G - HONORARIOS ART.424</t>
  </si>
  <si>
    <t>DS AUTORIZACION PAGO 6 DE HONORARIOS DEL CONTRATO 309  DE 2021 - PERIODO 1 AL 31 DE JULIO DE 2021 - OBJETO -G - HONORARIOS ART.424</t>
  </si>
  <si>
    <t>DS AUTORIZACION PAGO 7 DE HONORARIOS DEL CONTRATO 309  DE 2021 - PERIODO 1 AL 31 DE AGOSTO DE 2021 - OBJETO -G - HONORARIOS ART.424</t>
  </si>
  <si>
    <t>DS AUTORIZACION PAGO 8 DE HONORARIOS DEL CONTRATO 309  DE 2021 - PERIODO 1 AL 30 DE SEPTIEMBRE DE 2021 - OBJETO -G - HONORARIOS ART.424</t>
  </si>
  <si>
    <t>DS PAGO 9 contrato No. 309 de 2021, conforme a la cláusula No 9 del período comprendido entre el 1 de octubre al 31 de octubre de 2021 ART 324</t>
  </si>
  <si>
    <t>DS AUTORIZACION DE PAGO 10 Prestación de servicios profesionales por el contrato No. 309 de 2021, conforme a la cláusula No. 9, del período comprendido entre el 1 de noviembre al 30 de noviembre de 2021.</t>
  </si>
  <si>
    <t>DS AUTORIZACION PAGO 11 DE HONORARIOS DEL CONTRATO 309  DE 2021 - PERIODO 1 AL 31 DE DICIEMBRE DE 2021 - OBJETO -G - HONORARIOS ART.424</t>
  </si>
  <si>
    <t>CONTRATO  230/2021 ANGIE NATALIA BUSTOS TRIANA</t>
  </si>
  <si>
    <t>DS AUTORIZACION DE PAGO 01 CONTRATO 230 de 2021  DEL PERIODO DEL 8 AL 28 DE FEBRERO 2021 -OBJETO H.  HONORARIOS-ART No.424</t>
  </si>
  <si>
    <t>CERTIFICADO DE AFILIACION</t>
  </si>
  <si>
    <t>DS AUTORIZACION DE PAGO 02 CONTRATO 230 de 2021  DEL PERIODO DEL 01 AL 31 DE MARZO 2021 -OBJETO A.  HONORARIOS-ART No.424</t>
  </si>
  <si>
    <t>DS AUTORIZACION DE PAGO 03 CONTRATO 230 de 2021  DEL PERIODO DEL 01 AL 30 DE ABRIL 2021 -OBJETO A.  HONORARIOS-ART No.424</t>
  </si>
  <si>
    <t>DS AUTORIZACION DE PAGO 04 CONTRATO 230 de 2021  DEL PERIODO DEL 01 AL 31 DE MAYO 2021 -OBJETO A.  HONORARIOS-ART No.424</t>
  </si>
  <si>
    <t>DS AUTORIZACION DE PAGO 05 CONTRATO 230 de 2021  DEL PERIODO DEL 01 AL 30 DE JUNIO 2021 -OBJETO A.  HONORARIOS-ART No.424</t>
  </si>
  <si>
    <t>DS AUTORIZACION DE PAGO 06 CONTRATO 230 de 2021  DEL PERIODO DEL 01 AL 31 DE JULIO 2021 -OBJETO A.  HONORARIOS-ART No.424</t>
  </si>
  <si>
    <t>DS AUTORIZACION DE PAGO 07 CONTRATO 230 de 2021  DEL PERIODO DEL 01 AL 31 DE AGOSTO 2021 -OBJETO A.  HONORARIOS-ART No.424</t>
  </si>
  <si>
    <t>DS AUTORIZACION DE PAGO 08 CONTRATO 230 de 2021  DEL PERIODO DEL 01 AL 30 DE SEPTIEMBRE  2021 -OBJETO A.  HONORARIOS-ART No.424</t>
  </si>
  <si>
    <t>PAGO 9 OBJETO A contrato No 230 de 2021 conforme a la cláusula No 9 del período comprendido entre el 01 de octubre de 2021 y el 31 de octubre de 2021 ART 424</t>
  </si>
  <si>
    <t>DS pago 10 objeto A Prestación de servicios profesionales por el contrato No 230 de 2021 conforme a la cláusula No 9 del período comprendido entre el 01 de noviembre de 2021 y el 30 de noviembre de 2021 ART 424</t>
  </si>
  <si>
    <t>DS AUTORIZACION DE PAGO 11 CONTRATO 230 de 2021  DEL PERIODO DEL 01 AL 31 DE DICIEMBRE 2021 OBJETO A HONORARIOS ART No 424</t>
  </si>
  <si>
    <t>CONTRATO  237/2021 ANLLY BIVIANA MORA CASTELLANOS</t>
  </si>
  <si>
    <t>DS AUTORIZACION DE PAGO 01 CONTRATO 237  de 2021  DEL PERIODO DEL 08 AL 28 DE FEBRERO 2021 -OBJETO C.  HONORARIOS-ART No.424</t>
  </si>
  <si>
    <t>DS AUTORIZACION DE PAGO 02 CONTRATO 237  de 2021  DEL PERIODO DEL 01 AL 31 DE MARZO 2021 -OBJETO C.  HONORARIOS-ART No.424</t>
  </si>
  <si>
    <t>DS AUTORIZACION DE PAGO 03 CONTRATO 237  de 2021  DEL PERIODO DEL 01 AL 30 DE ABRIL 2021 -OBJETO C.  HONORARIOS-ART No.424</t>
  </si>
  <si>
    <t>DS AUTORIZACION DE PAGO 04 CONTRATO 237  de 2021  DEL PERIODO DEL 01 AL 31 DE MAYO 2021 -OBJETO C.  HONORARIOS-ART No.424</t>
  </si>
  <si>
    <t>DS AUTORIZACION DE PAGO 05 CONTRATO 237  de 2021  DEL PERIODO DEL 01 AL 30 DE JUNIO 2021 -OBJETO C.  HONORARIOS-ART No.424</t>
  </si>
  <si>
    <t>DS AUTORIZACION DE PAGO 06 CONTRATO 237  de 2021  DEL PERIODO DEL 01 AL 31 DE JULIO 2021 -OBJETO C.  HONORARIOS-ART No.424</t>
  </si>
  <si>
    <t>DS AUTORIZACION DE PAGO 07 HONORARIOS CONTRATO 237 de 2021 DEL PERIODO DEL 01 AL 31 DE AGOSTO 2021 -OBJETO H HONORARIOS ART No.424</t>
  </si>
  <si>
    <t>DS AUTORIZACION DE PAGO 08 CONTRATO 237  de 2021  DEL PERIODO DEL 01 AL 30 DE SEPTIEMBRE 2021 OBJETO C  HONORARIOS-ART No.424</t>
  </si>
  <si>
    <t>DS AUTORIZACION DE PAGO 9 CONTRATO 237 de 2021  DEL PERIODO DEL 1 A 31 DE OCTUBRE 2021 -OBJETO C.  HONORARIOS-ART No.424</t>
  </si>
  <si>
    <t>DS AUTORIZACION DE PAGO 10 CONTRATO 237 de 2021 DEL PERIODO DEL 01 AL 30 DE NOVIEMBRE DE 2021 OBJETO C HONORARIOS ART No 424</t>
  </si>
  <si>
    <t>DS AUTORIZACION DE PAGO 11 CONTRATO 237  de 2021  DEL PERIODO DEL 01 AL 31 DE diciembre 2021 OBJETO C HONORARIOS ART No 424</t>
  </si>
  <si>
    <t>CONTRATO  236/2021 ARGEMIRO  ALVAREZ JIMENEZ</t>
  </si>
  <si>
    <t>DS AUTORIZACION DE PAGO 01 CONTRATO 236 de 2021  DEL PERIODO DEL 09 AL 28 DE FEBRERO 2021 -OBJETO H,  HONORARIOS-ART No.424</t>
  </si>
  <si>
    <t>DS AUTORIZACION DE PAGO 02 CONTRATO 236 de 2021  DEL PERIODO DEL 01 AL 31 DE MARZO 2021 -OBJETO H.  HONORARIOS-ART No.424</t>
  </si>
  <si>
    <t>DS AUTORIZACION DE PAGO 03 CONTRATO 236 de 2021  DEL PERIODO DEL 01 AL 30 DE ABRIL 2021 -OBJETO H,  HONORARIOS-ART No.424</t>
  </si>
  <si>
    <t>DS AUTORIZACION DE PAGO 04 CONTRATO 236 de 2021  DEL PERIODO DEL 01 AL 31 DE MAYO 2021 - OBJETO H,  HONORARIOS-ART No.424</t>
  </si>
  <si>
    <t>DS AUTORIZACION DE PAGO 05 CONTRATO 236 de 2021  DEL PERIODO DEL 01 AL 30 DE JUNIO 2021 - OBJETO H,  HONORARIOS-ART No.424</t>
  </si>
  <si>
    <t>DS AUTORIZACION DE PAGO 06 CONTRATO 236 de 2021  DEL PERIODO DEL 01 AL 31 DE JULIO 2021 - OBJETO H,  HONORARIOS-ART No.424</t>
  </si>
  <si>
    <t>DS AUTORIZACION DE PAGO 07 CONTRATO 236 de 2021  DEL PERIODO DEL 01 AL 31 DE AGOSTO 2021 -OBJETO H,  HONORARIOS-ART No.424</t>
  </si>
  <si>
    <t>DS AUTORIZACION DE PAGO 08 CONTRATO 236 de 2021  DEL PERIODO DEL 01 AL 30 DE SEPTIEMBRE 2021 -OBJETO H,  HONORARIOS-ART No.424</t>
  </si>
  <si>
    <t>DS AUTORIZACION DE PAGO 09 CONTRATO 236 de 2021  DEL PERIODO DEL 01 AL 31 DE OCTUBRE 2021 -OBJETO H,  HONORARIOS-ART No.424</t>
  </si>
  <si>
    <t>DS AUTORIZACION DE PAGO 10 CONTRATO 236 de 2021  DEL PERIODO DEL 01 AL 30 DE NOVIEMBRE DE 2021 OBJETO H HONORARIOS ART No 424</t>
  </si>
  <si>
    <t>DS PAGO 11 CONTRATO 236 de 2021  DEL PERIODO DEL 01 AL 31 DE DICIEMBRE 2021 -OBJETO H,  HONORARIOS-ART No.424</t>
  </si>
  <si>
    <t>CONTRATO  192/2021 BETTY ESPERANZA HERRERA GARCIA</t>
  </si>
  <si>
    <t>DS AUTORIZACION DE PAGO 1 CONTRATO 192 de 2021  DEL PERIODO DEL 3 AL 28 DE FEBRERO 2021 -OBJETO G.  HONORARIOS-ART No.425</t>
  </si>
  <si>
    <t>DS AUTORIZACION DE PAGO 2 CONTRATO 192 de 2021  DEL PERIODO DEL 1 AL 31 DE MARZO 2021 -OBJETO C.  HONORARIOS-ART No.425</t>
  </si>
  <si>
    <t>DS AUTORIZACION DE PAGO 3 CONTRATO 192 de 2021  DEL PERIODO DEL 1 AL 30 DE ABRIL 2021 -OBJETO C.  HONORARIOS-ART No.425</t>
  </si>
  <si>
    <t>DS AUTORIZACION DE PAGO 4 CONTRATO 192 de 2021  DEL PERIODO DEL 1 AL 31 DE MAYO 2021 -OBJETO C.  HONORARIOS-ART No.425</t>
  </si>
  <si>
    <t>DS AUTORIZACION DE PAGO 5 CONTRATO 192 de 2021  DEL PERIODO DEL 1 AL 30 DE JUNIO 2021 -OBJETO C.  HONORARIOS-ART No.425</t>
  </si>
  <si>
    <t>DS AUTORIZACION DE PAGO 6 CONTRATO 192 de 2021  DEL PERIODO DEL 1 AL 31 DE JULIO 2021 -OBJETO C.  HONORARIOS-ART No.425</t>
  </si>
  <si>
    <t>DS PAGO 07 DE HONORARIOS DEL  CONTRATO 192 DE 2021 - PERIODO DE AGOSTO DEL 2021 - OBJETO C HONORARIOS ART.424</t>
  </si>
  <si>
    <t>DS PAGO 08 DE HONORARIOS DEL  CONTRATO 192 DE 2021 - PERIODO DE SEPTIEMBRE DEL 2021 - OBJETO C HONORARIOS ART.424</t>
  </si>
  <si>
    <t>DS PAGO 9 DE HONORARIOS DEL  CONTRATO 192 DE 2021 - PERIODO DE 1 A 31 DE OCTUBRE DEL 2021 - OBJETO C HONORARIOS ART.424</t>
  </si>
  <si>
    <t>DS PAGO 10 DE HONORARIOS DEL  CONTRATO 192 DE 2021  PERIODO DE 1 A 30 DE NOVIEMBRE DEL 2021 OBJETO C HONORARIOS ART 424</t>
  </si>
  <si>
    <t>DS PAGO 11 DE HONORARIOS DEL  CONTRATO 192 DE 2021 PERIODO DE 1 A 31 DE DICIEMBRE DEL 2021 OBJETO C HONORARIOS ART 424</t>
  </si>
  <si>
    <t>CONTRATO  269/2021 CINDY PAOLA CHACON AMADO</t>
  </si>
  <si>
    <t>DS AUTORIZACION DE PAGO 01 CONTRATO 269  de 2021  DEL PERIODO DEL 17 AL 28 DE FEBRERO 2021 -OBJETO A.  HONORARIOS-ART No.424</t>
  </si>
  <si>
    <t>DS AUTORIZACION DE PAGO 02 CONTRATO 269  de 2021  DEL PERIODO DEL 1 AL 31 DE MARZO 2021 -OBJETO A.  HONORARIOS-ART No.424</t>
  </si>
  <si>
    <t>DS AUTORIZACION DE PAGO 03 CONTRATO 269  de 2021  DEL PERIODO DEL 1 AL 30 DE ABRIL 2021 -OBJETO A.  HONORARIOS-ART No.424</t>
  </si>
  <si>
    <t>DS AUTORIZACION DE PAGO 04 CONTRATO 269  de 2021  DEL PERIODO DEL 1 AL 31 DE MAYO 2021 -OBJETO A.  HONORARIOS-ART No.424</t>
  </si>
  <si>
    <t>DS AUTORIZACION DE PAGO 05 CONTRATO 269  de 2021  DEL PERIODO DEL 1 AL 30 DE JUNIO 2021 -OBJETO A.  HONORARIOS-ART No.424</t>
  </si>
  <si>
    <t>DS AUTORIZACION DE PAGO 06 CONTRATO 269  de 2021  DEL PERIODO DEL 1 AL 31 DE JULIO 2021 -OBJETO A.  HONORARIOS-ART No.424</t>
  </si>
  <si>
    <t>DS AUTORIZACION DE PAGO 07 CONTRATO 269  de 2021  DEL PERIODO DEL 1 AL 31 DE AGOSTO 2021 -OBJETO A.  HONORARIOS-ART No.424</t>
  </si>
  <si>
    <t>DS AUTORIZACION DE PAGO 08 CONTRATO 269  de 2021  DEL PERIODO DEL 1 AL 30 DE SEPTIEMBRE 2021 -OBJETO A.  HONORARIOS-ART No.424</t>
  </si>
  <si>
    <t>DS AUTORIZACION DE PAGO 09 CONTRATO 269  de 2021  DEL PERIODO DEL 1 AL 31 DE OCTUBRE  2021 -OBJETO A.  HONORARIOS-ART No.424</t>
  </si>
  <si>
    <t>DS PAGO 10 OBJETO A contrato No. 269 de 2021, conforme a la cláusula No. 9, del período comprendido entre el 1 y el 30 de noviembre de 2021.</t>
  </si>
  <si>
    <t>DS AUTORIZACION DE PAGO 11 CONTRATO 269  de 2021  DEL PERIODO DEL 1 AL 31 DE DICIEMBRE 2021 OBJETO A HONORARIOS ART No 424</t>
  </si>
  <si>
    <t>CONTRATO  194/2021 CLAUDIA MARCELA LADINO HERRERA</t>
  </si>
  <si>
    <t>DS AUTORIZACION DE PAGO 01 CONTRATO 194 de 2021  DEL PERIODO DEL 2 AL 28 DE FEBRERO 2021 -OBJETO H.  HONORARIOS-ART No.424</t>
  </si>
  <si>
    <t>DS AUTORIZACION DE PAGO 02 CONTRATO 194  de 2021  DEL PERIODO DEL 01 AL 31 DE MARZO 2021 -OBJETO E.  HONORARIOS-ART No.424</t>
  </si>
  <si>
    <t>DS AUTORIZACION DE PAGO 03 CONTRATO 194  de 2021  DEL PERIODO DEL 01 AL 30 DE ABRIL 2021 -OBJETO E.  HONORARIOS-ART No.424</t>
  </si>
  <si>
    <t>DS AUTORIZACION DE PAGO 04 CONTRATO 194 de 2021  DEL PERIODO DEL 1 AL 31 DE MAYO 2021 -OBJETO E.  HONORARIOS-ART No.424</t>
  </si>
  <si>
    <t>DS AUTORIZACION DE PAGO 05 CONTRATO 194  de 2021  DEL PERIODO DEL 01 AL 30 DE JUNIO  2021 -OBJETO E.  HONORARIOS-ART No.424</t>
  </si>
  <si>
    <t>DS AUTORIZACION DE PAGO 06 CONTRATO 194  de 2021  DEL PERIODO DEL 01 AL 31 DE JULIO  2021 -OBJETO E.  HONORARIOS-ART No.424</t>
  </si>
  <si>
    <t>DS AUTORIZACION DE PAGO 07 CONTRATO 194  de 2021  DEL PERIODO DEL 01 AL 31 DE AGOSTO  2021 -OBJETO E.  HONORARIOS-ART No.424</t>
  </si>
  <si>
    <t>DS AUTORIZACION DE PAGO 08 CONTRATO 194  de 2021  DEL PERIODO DEL 01 AL 30 DE SEPTIEMBRE  2021 -OBJETO E HONORARIOS-ART No.424</t>
  </si>
  <si>
    <t>DS AUTORIZACION DE PAGO 9 CONTRATO 194  de 2021  DEL PERIODO DEL 01 AL 31 DE OCTUBRE  2021 -OBJETO E HONORARIOS-ART No.424</t>
  </si>
  <si>
    <t>DS AUTORIZACION DE PAGO 10  CONTRATO 194  de 2021  DEL PERIODO DEL 01 AL 30 DE NOVIEMBRE DE  2021 OBJETO E HONORARIOS ART No 424</t>
  </si>
  <si>
    <t>DS PAGO 11 CONTRATO 194  de 2021  DEL PERIODO DEL 01 AL 31 DE DICIEMBRE  2021 -OBJETO E HONORARIOS-ART No.424</t>
  </si>
  <si>
    <t xml:space="preserve">CONTRATO  146/2021 DEISY JULIETH OCHOA NOGUERA </t>
  </si>
  <si>
    <t>DS AUTORIZACION DE PAGO 01 CONTRATO 146 de 2021  DEL PERIODO DEL 28 AL 31 DE ENERO 2021 -OBJETO A.  HONORARIOS-ART No.424</t>
  </si>
  <si>
    <t>DS AUTORIZACION DE PAGO 02 CONTRATO 146 de 2021  DEL PERIODO DEL 01 AL 28 DE FEBRERO 2021 -OBJETO A.  HONORARIOS-ART No.424</t>
  </si>
  <si>
    <t>DS AUTORIZACION DE PAGO 03 CONTRATO 146 de 2021  DEL PERIODO DEL 01 AL 31 DE MARZO 2021 -OBJETO A.  HONORARIOS-ART No.424</t>
  </si>
  <si>
    <t>DS AUTORIZACION DE PAGO 04 CONTRATO 146 de 2021  DEL PERIODO DEL 01 AL 30 DE ABRIL 2021 -OBJETO A.  HONORARIOS-ART No.424</t>
  </si>
  <si>
    <t>DS AUTORIZACION DE PAGO 05 CONTRATO 146 de 2021  DEL PERIODO DEL 01 AL 31 DE MAYO 2021 -OBJETO A.  HONORARIOS-ART No.424</t>
  </si>
  <si>
    <t>DS AUTORIZACION DE PAGO 06 CONTRATO 146 de 2021  DEL PERIODO DEL 01 AL 30 DE JUNIO 2021 -OBJETO A.  HONORARIOS-ART No.424</t>
  </si>
  <si>
    <t>DS AUTORIZACION DE PAGO 07 CONTRATO 146 de 2021  DEL PERIODO DEL 01 AL 01 DE JULIO 2021 -OBJETO A.  HONORARIOS-ART No.424</t>
  </si>
  <si>
    <t>CONTRATO  180/2021 DUVIER ALFONSO LOPEZ ORTIZ</t>
  </si>
  <si>
    <t>DS AUTORIZACION DE PAGO 01 CONTRATO 180  de 2021  DEL PERIODO DEL 04 AL 28 DE FEBRERO 2021 -OBJETO C.  HONORARIOS-ART No.424</t>
  </si>
  <si>
    <t>DS AUTORIZACION DE PAGO 02 CONTRATO 180  de 2021  DEL PERIODO DEL 01 AL 31 DE MARZO 2021 -OBJETO C.  HONORARIOS-ART No.424</t>
  </si>
  <si>
    <t>DS AUTORIZACION DE PAGO 03 CONTRATO 180  de 2021  DEL PERIODO DEL 01 AL 30 DE ABRIL 2021 -OBJETO C.  HONORARIOS-ART No.424</t>
  </si>
  <si>
    <t>DS AUTORIZACION DE PAGO 04 CONTRATO 180  de 2021  DEL PERIODO DEL 01 AL 31 DE MAYO 2021 -OBJETO C.  HONORARIOS-ART No.424</t>
  </si>
  <si>
    <t>DS AUTORIZACION DE PAGO 05 CONTRATO 180  de 2021  DEL PERIODO DEL 01 AL 30 DE JUNIO 2021 -OBJETO C.  HONORARIOS-ART No.424</t>
  </si>
  <si>
    <t>DS AUTORIZACION DE PAGO 06 CONTRATO 180  de 2021  DEL PERIODO DEL 01 AL 31 DE JULIO 2021 -OBJETO C.  HONORARIOS-ART No.424</t>
  </si>
  <si>
    <t>DS AUTORIZACION DE PAGO 07 CONTRATO 180  de 2021  DEL PERIODO DEL 01 AL 31 DE AGOSTO 2021 -OBJETO C.  HONORARIOS-ART No.424</t>
  </si>
  <si>
    <t>DS AUTORIZACION DE PAGO 08 CONTRATO 180  de 2021  DEL PERIODO DEL 01 AL 30 DE SEPTIEMBRE  2021 -OBJETO C.  HONORARIOS-ART No.424</t>
  </si>
  <si>
    <t>DS AUTORIZACION DE PAGO 9 CONTRATO 180  de 2021  DEL PERIODO DEL 01 AL 31 DEoctubre 2021 OBJETO C  HONORARIOS ART No 424</t>
  </si>
  <si>
    <t>DS PAGO 10 OBJETO C contrato No 180 de 2021 conforme con la cláusula No 9 del período DE 1 A 30 de noviembre de 2021</t>
  </si>
  <si>
    <t>DS PAGO 11 OBJETO C contrato No 180 de 2021 conforme con la cláusula No 9 del período DE 1 A 31 de diciembre de 2021</t>
  </si>
  <si>
    <t>CONTRATO  051/2021 ELVIRA DEL PILAR FORERO HERNANDEZ</t>
  </si>
  <si>
    <t>DS AUTORIZACION DE PAGO 01 CONTRATO 051 de 2021  DEL PERIODO DEL 20 AL 31 DE ENERO 2021 -OBJETO H.  HONORARIOS-ART No.424</t>
  </si>
  <si>
    <t>DS AUTORIZACION DE PAGO 02 CONTRATO 051 de 2021  DEL PERIODO DEL 1 AL 28 DE FEBRERO  2021 -OBJETO H.  HONORARIOS-ART No.424</t>
  </si>
  <si>
    <t>DS AUTORIZACION DE PAGO 03 CONTRATO 051 de 2021  DEL PERIODO DEL 01 AL 31 DE MARZO 2021 -OBJETO H.  HONORARIOS-ART No.424</t>
  </si>
  <si>
    <t>DS AUTORIZACION DE PAGO 04 CONTRATO 051 de 2021  DEL PERIODO DEL 01 AL 30 DE ABRIL 2021 -OBJETO H.  HONORARIOS-ART No.424</t>
  </si>
  <si>
    <t>DS AUTORIZACION DE PAGO 05-FINAL AL CONTRATO 051 de 2021  DEL PERIODO DEL 01 AL 31 DE MAYO 2021 -OBJETO H.  HONORARIOS-ART No.424</t>
  </si>
  <si>
    <t>CONTRATO  226/2021 FANNY MERCEDES TORRES LOPEZ</t>
  </si>
  <si>
    <t>DS AUTORIZACION DE PAGO 1 CONTRATO 226  DEL PERIODO DEL 9 AL 28 DE FEBRERO DE  2021 -OBJETO C.  HONORARIOS-ART No.424</t>
  </si>
  <si>
    <t>DS AUTORIZACION DE PAGO 2 CONTRATO 226  DEL PERIODO DEL 1 AL 31 DE MARZO DE  2021 -OBJETO C.  HONORARIOS-ART No.424</t>
  </si>
  <si>
    <t>DS AUTORIZACION DE PAGO 3 CONTRATO 226  DEL PERIODO DEL 1 AL 30 DE ABRIL DE  2021 -OBJETO C.  HONORARIOS-ART No.424</t>
  </si>
  <si>
    <t>DS AUTORIZACION DE PAGO 4 CONTRATO 226  DEL PERIODO DEL 1 AL 31 DE MAYO DE  2021 -OBJETO C.  HONORARIOS-ART No.424</t>
  </si>
  <si>
    <t>DS AUTORIZACION DE PAGO 5 CONTRATO 226  DEL PERIODO DEL 1 AL 30 DE JUNIO DE  2021 -OBJETO C.  HONORARIOS-ART No.424</t>
  </si>
  <si>
    <t>DS AUTORIZACION DE PAGO 6 CONTRATO 226  DEL PERIODO DEL 1 AL 31 DE JULIO DE  2021 -OBJETO C.  HONORARIOS-ART No.424</t>
  </si>
  <si>
    <t>DS AUTORIZACION DE PAGO 7 CONTRATO 226  DEL PERIODO DEL 1 AL 31 DE AGOSTO DE  2021 -OBJETO C.  HONORARIOS-ART No.424</t>
  </si>
  <si>
    <t>DS AUTORIZACION DE PAGO 8 CONTRATO 226  DEL PERIODO DEL 1 AL 30 DE SEPTIEMBRE DE  2021 -OBJETO C.  HONORARIOS-ART No.424</t>
  </si>
  <si>
    <t>DS AUTORIZACION DE PAGO 9 CONTRATO 226  DEL PERIODO DEL 1 AL 31 DE OCTUBRE DE  2021 -OBJETO C.  HONORARIOS-ART No.424</t>
  </si>
  <si>
    <t>PAGO 10 OBJETO C contrato No. 226 de 2021 conforme a la cláusula No. 9 del período comprendido entre el 1 de noviembre y el 30 de noviembre de 2021 ART 424</t>
  </si>
  <si>
    <t>DS DE PAGO 11 CONTRATO 226  DEL PERIODO DEL 1 AL 31 DE DICIEMBRE DE  2021 -OBJETO C.  HONORARIOS-ART No.424</t>
  </si>
  <si>
    <t>CONTRATO  262/2021 FLOR ANGELICA HOWER PEDRAZA</t>
  </si>
  <si>
    <t>DS AUTORIZACION DE PAGO 01 CONTRATO 262  de 2021  DEL PERIODO DEL 11 AL 28 DE FEBRERO 2021 -OBJETO A.  HONORARIOS-ART No.424</t>
  </si>
  <si>
    <t>DS AUTORIZACION DE PAGO 02 CONTRATO 262  de 2021  DEL PERIODO DEL 1 AL 31 DE MARZO 2021 -OBJETO A.  HONORARIOS-ART No.424</t>
  </si>
  <si>
    <t>DS AUTORIZACION DE PAGO 03 CONTRATO 262  de 2021  DEL PERIODO DEL 1 AL 30 DE ABRIL 2021 -OBJETO A.  HONORARIOS-ART No.424</t>
  </si>
  <si>
    <t>DSDS AUTORIZACION DE PAGO 04 CONTRATO 262 de 2021 DEL PERIODO DEL 1 AL 31 DE MAYO 2021 -OBJETO A. HONORARIOS-ART No.424</t>
  </si>
  <si>
    <t>DS AUTORIZACION DE PAGO 05 CONTRATO 262  de 2021  DEL PERIODO DEL 1 AL 30 DE JUNIO  2021 -OBJETO A.  HONORARIOS-ART No.424</t>
  </si>
  <si>
    <t>DS AUTORIZACION DE PAGO 06 CONTRATO 262  de 2021  DEL PERIODO DEL 1 AL 31 DE JULIO  2021 -OBJETO A.  HONORARIOS-ART No.424</t>
  </si>
  <si>
    <t>DS AUTORIZACION DE PAGO 07 CONTRATO 262  de 2021  DEL PERIODO DEL 1 AL 31 DE AGOSTO  2021 -OBJETO A.  HONORARIOS-ART No.424</t>
  </si>
  <si>
    <t>DS AUTORIZACION DE PAGO 08 CONTRATO 262  de 2021  DEL PERIODO DEL 1 AL 30 DE SEPTIEMBRE 2021 -OBJETO A.  HONORARIOS-ART No.424</t>
  </si>
  <si>
    <t>DS AUTORIZACION DE PAGO 09 CONTRATO 262  de 2021  DEL PERIODO DEL 1 AL 31 DE OCTUBRE  2021 -OBJETO A.  HONORARIOS-ART No.424</t>
  </si>
  <si>
    <t>DS PAGO 10 OBJETO A contrato No. 262 de 2021  conforme a la cláusula No. 9 del período comprendido entre el 01 DE NOVEMBRE al 30 de NOVEMBRE de 2021 ART 424</t>
  </si>
  <si>
    <t>DS AUTORIZACION DE PAGO 11 CONTRATO 262  de 2021  DEL PERIODO DEL 1 AL 31 DE DICIEMBRE 2021 -OBJETO A.  HONORARIOS-ART No.424</t>
  </si>
  <si>
    <t>CONTRATO  225/2021 GERARDO ALBERTO OCHOA VEGA</t>
  </si>
  <si>
    <t>DS AUTORIZACION DE PAGO 01 CONTRATO 225 de 2021  DEL PERIODO DEL 09 AL 28 DE FEBRERO 2021 -OBJETO A.  HONORARIOS-ART No.424</t>
  </si>
  <si>
    <t>DS AUTORIZACION DE PAGO 02 CONTRATO 225 de 2021  DEL PERIODO DEL 01 AL 31 DE MARZO 2021 -OBJETO A.  HONORARIOS-ART No.424</t>
  </si>
  <si>
    <t>DS AUTORIZACION DE PAGO 03 CONTRATO 225 de 2021  DEL PERIODO DEL 01 AL 30 DE ABRIL 2021 -OBJETO A.  HONORARIOS-ART No.424</t>
  </si>
  <si>
    <t>DS AUTORIZACION DE PAGO 04 CONTRATO 225 de 2021  DEL PERIODO DEL 01 AL 31 DE MAYO  2021 -OBJETO A.  HONORARIOS-ART No.424</t>
  </si>
  <si>
    <t>DS AUTORIZACION DE PAGO 05 CONTRATO 225 de 2021  DEL PERIODO DEL 01 AL 30 DE JUNIO  2021 -OBJETO A.  HONORARIOS-ART No.424</t>
  </si>
  <si>
    <t>DS AUTORIZACION DE PAGO 06 CONTRATO 225 de 2021  DEL PERIODO DEL 01 AL 31 DE JULIO  2021 -OBJETO A.  HONORARIOS-ART No.424</t>
  </si>
  <si>
    <t>DS AUTORIZACION DE PAGO 07 CONTRATO 225 de 2021  DEL PERIODO DEL 01 AL 31 DE AGOSTO  2021 -OBJETO A.  HONORARIOS-ART No.424</t>
  </si>
  <si>
    <t>DS AUTORIZACION DE PAGO 08 CONTRATO 225 de 2021  DEL PERIODO DEL 01 AL 30 DE SEPTIEMBRE  2021 -OBJETO A.  HONORARIOS-ART No.424</t>
  </si>
  <si>
    <t>DS AUTORIZACION DE PAGO 09 CONTRATO 225 de 2021  DEL PERIODO DEL 01 AL 31 DE OCTUBRE   2021 -OBJETO A.  HONORARIOS-ART No.424</t>
  </si>
  <si>
    <t>PAGO 10 OBJETO A CPS 225 del 2021. Periodo facturado: del 1 al 30 de Noviembre del 2021 ART 424</t>
  </si>
  <si>
    <t>DS AUTORIZACION DE PAGO 11 CONTRATO 225 de 2021  DEL PERIODO DEL 01 AL 31 DE DICIEMBRE 2021 OBJETO A HONORARIOS ART No 424</t>
  </si>
  <si>
    <t>CONTRATO  270/2021 GUSTAVO ADOLFO CORTES MOSQUERA</t>
  </si>
  <si>
    <t>DS AUTORIZACION DE PAGO 1 CONTRATO 270 de 2021  DEL PERIODO DEL 12 AL 28 DE FEBRERO 2021 -OBJETO G.  HONORARIOS-ART No.425</t>
  </si>
  <si>
    <t>DS AUTORIZACION DE PAGO 2 CONTRATO 270 de 2021  DEL PERIODO DEL 1 AL 31 DE MARZO 2021 -OBJETO G.  HONORARIOS-ART No.425</t>
  </si>
  <si>
    <t>DS AUTORIZACION DE PAGO 3 CONTRATO 270 de 2021  DEL PERIODO DEL 1 AL 30 DE ABRIL 2021 -OBJETO G.  HONORARIOS-ART No.425</t>
  </si>
  <si>
    <t>DS AUTORIZACION DE PAGO 4 CONTRATO 270 de 2021  DEL PERIODO DEL 1 AL 31 DE MAYO 2021 -OBJETO G.  HONORARIOS-ART No.425</t>
  </si>
  <si>
    <t>DS AUTORIZACION DE PAGO 5 CONTRATO 270 de 2021  DEL PERIODO DEL 1 AL 30 DE JUNIO 2021 -OBJETO G.  HONORARIOS-ART No.425</t>
  </si>
  <si>
    <t>DS AUTORIZACION DE PAGO 6 CONTRATO 270 de 2021  DEL PERIODO DEL 1 AL 31 DE JULIO 2021 -OBJETO G.  HONORARIOS-ART No.425</t>
  </si>
  <si>
    <t>DS AUTORIZACION DE PAGO 7 CONTRATO 270 de 2021  DEL PERIODO DEL 1 AL 31 DE AGOSTO 2021 -OBJETO G.  HONORARIOS-ART No.425</t>
  </si>
  <si>
    <t>DS AUTORIZACION DE PAGO 8 CONTRATO 270 de 2021  DEL PERIODO DEL 1 AL 30 DE SEPTIEMBRE 2021 -OBJETO G.  HONORARIOS-ART No.425</t>
  </si>
  <si>
    <t>DS AUTORIZACION DE PAGO 9 CONTRATO 270 de 2021  DEL PERIODO DEL 1 AL 31 DE OCTUBRE  2021 -OBJETO G.  HONORARIOS-ART No.425</t>
  </si>
  <si>
    <t>DS PRESTACION DE PAGO 10 CONTRATO270 DE 2021 CLAUSULA # 9 DEL PERIODO COMPRENDIDO DE 1 A 30DE NOVIEMBRE DE 2021</t>
  </si>
  <si>
    <t>DS PAGO 11  contrato No. 270 de 2021  del período comprendido entre el 01 y el 31 de Diciembre de 2021 OBJETO G ART 424</t>
  </si>
  <si>
    <t>CONTRATO  221/2021 GUSTAVO EDUARDO ARENAS CAMPOS</t>
  </si>
  <si>
    <t>DS AUTORIZACION DE PAGO 01 CONTRATO 221 de 2021  DEL PERIODO DEL 5 AL 28 DE FEBRERO  2021 -OBJETO H.  HONORARIOS-ART No.424</t>
  </si>
  <si>
    <t>DS AUTORIZACION DE PAGO 02 CONTRATO 221 de 2021  DEL PERIODO DEL 1 AL 31 DE MARZO  2021 -OBJETO G.  HONORARIOS-ART No.424</t>
  </si>
  <si>
    <t>valor 40%</t>
  </si>
  <si>
    <t>DS AUTORIZACION DE PAGO 03 CONTRATO 221 de 2021  DEL PERIODO DEL 1 AL 30 DE ABRIL  2021 -OBJETO G.  HONORARIOS-ART No.424</t>
  </si>
  <si>
    <t>DS AUTORIZACIÓN DE PAGO 04 DEL CONTRATO 221 DE 2021 - PERIODO DEL 01 AL 31 DE MAYO DE 2021 - OBJETO G - HONORARIOS ART. 424</t>
  </si>
  <si>
    <t>DS AUTORIZACION DE PAGO 05 CONTRATO 221 de 2021  DEL PERIODO DEL 1 AL 30 DE JUNIO  2021 -OBJETO G.  HONORARIOS-ART No.424</t>
  </si>
  <si>
    <t>DS AUTORIZACION DE PAGO 06 CONTRATO 221 de 2021  DEL PERIODO DEL 1 AL 31 DE JULIO  2021 -OBJETO G.  HONORARIOS-ART No.424</t>
  </si>
  <si>
    <t>DS AUTORIZACION DE PAGO 07 CONTRATO 221 de 2021  DEL PERIODO DEL 1 AL 31 DE AGOSTO  2021 -OBJETO G.  HONORARIOS-ART No.424</t>
  </si>
  <si>
    <t>DS AUTORIZACION DE PAGO 08 CONTRATO 221 de 2021  DEL PERIODO DEL 1 AL 30 DE SEPTIEMBRE  2021 -OBJETO G.  HONORARIOS-ART No.424</t>
  </si>
  <si>
    <t>DS AUTORIZACION DE PAGO 09 CONTRATO 221 de 2021  DEL PERIODO DEL 1 AL 31 DE OCTUBRE   2021 -OBJETO G.  HONORARIOS-ART No.424</t>
  </si>
  <si>
    <t>PAGO 10 OBJETO G contrato No. 221 de 2021, conforme a la cláusula No.9 del período comprendido entre el 1 y el 30 de noviembre de 2021 ART 424</t>
  </si>
  <si>
    <t>DS DE PAGO 09 CONTRATO 221 de 2021  DEL PERIODO DEL 1 AL 31 DE DICIEMBRE   2021 -OBJETO G.  HONORARIOS-ART No.424</t>
  </si>
  <si>
    <t>CONTRATO  183/2021 JAVIER MANUEL PALACIO MEJIA</t>
  </si>
  <si>
    <t>DS AUTORIZACION DE PAGO 01 CONTRATO 183 de 2021  DEL PERIODO DEL 04 AL 28 DE FEBRERO 2021 -OBJETO C,  HONORARIOS-ART No.424</t>
  </si>
  <si>
    <t>DS AUTORIZACION DE PAGO 02 CONTRATO 183 de 2021  DEL PERIODO DEL 01 AL 31 DE MARZO 2021 -OBJETO C.  HONORARIOS-ART No.424</t>
  </si>
  <si>
    <t>DS AUTORIZACION DE PAGO 03 CONTRATO 183 de 2021  DEL PERIODO DEL 01 AL 30 DE ABRIL 2021 -OBJETO C.  HONORARIOS-ART No.424</t>
  </si>
  <si>
    <t>DS AUTORIZACION DE PAGO 04 CONTRATO 183 de 2021  DEL PERIODO DEL 01 AL 31 DE MAYO 2021 -OBJETO C.  HONORARIOS-ART No.424</t>
  </si>
  <si>
    <t>DS AUTORIZACION DE PAGO 05 CONTRATO 183 de 2021  DEL PERIODO DEL 01 AL 30 DE JUNIO 2021 -OBJETO C.  HONORARIOS-ART No.424</t>
  </si>
  <si>
    <t>DS AUTORIZACION DE PAGO 06 CONTRATO 183 de 2021  DEL PERIODO DEL 01 AL 31 DE JULIO 2021 -OBJETO C.  HONORARIOS-ART No.424</t>
  </si>
  <si>
    <t>DS AUTORIZACIÓN DEL PAGO 7 DEL  CONTRATO 183 DE  2021 PERIODO DEL 01 AL 31 DE AGOSTO OBJETO C - HONORARIOS</t>
  </si>
  <si>
    <t>DS AUTORIZACIÓN DEL PAGO 8 DEL  CONTRATO 183 DE  2021 PERIODO DEL 01 AL 30 DE SEPTIEMBRE OBJETO C - HONORARIOS</t>
  </si>
  <si>
    <t>DS AUTORIZACIÓN DEL PAGO 9 DEL  CONTRATO 183 DE  2021 PERIODO DEL 01 AL 31 DE OCTUBRE OBJETO C - HONORARIOS</t>
  </si>
  <si>
    <t>DS AUTORIZACIÓN DEL PAGO 10 DEL CONTRATO 183 DE  2021 PERIODO DEL 01 AL 30 DE NOVIEMBRE OBJETO C  HONORARIOS</t>
  </si>
  <si>
    <t>DS AUTORIZACIÓN DEL PAGO 11 DEL  CONTRATO 183 DE  2021 PERIODO DEL 01 AL 31 DE DICIEMBRE  OBJETO C HONORARIOS</t>
  </si>
  <si>
    <t>CONTRATO  266/2021 JEIMMY MAGDALY ROJAS BENTACOURT</t>
  </si>
  <si>
    <t>DS PAGO 1 DE HONORARIOS DEL  CONTRATO 266 DE 2021 - PERIODO 11 AL 28 DE FEBRERO  DEL 2021 - OBJETO A HONORARIOS ART.424</t>
  </si>
  <si>
    <t>DS AUTORIZACION DE  PAGO 2 DE HONORARIOS DEL  CONTRATO 266 DE 2021 - PERIODO 01 AL 31 DE MARZO  DEL 2021 - OBJETO A HONORARIOS ART.424</t>
  </si>
  <si>
    <t>DS AUTORIZACION DE  PAGO 3 DE HONORARIOS DEL  CONTRATO 266 DE 2021 - PERIODO 01 AL 30 DE ABRIL  DEL 2021 - OBJETO A HONORARIOS ART.424</t>
  </si>
  <si>
    <t>DS AUTORIZACION DE  PAGO 4 DE HONORARIOS DEL  CONTRATO 266 DE 2021 - PERIODO 01 AL 31 DE MAYO  DEL 2021 - OBJETO A HONORARIOS ART.424</t>
  </si>
  <si>
    <t>DS AUTORIZACION DE  PAGO 5 DE HONORARIOS DEL  CONTRATO 266 DE 2021 - PERIODO 01 AL 30 DE JUNIO  DEL 2021 - OBJETO A HONORARIOS ART.424</t>
  </si>
  <si>
    <t>DS AUTORIZACION DE  PAGO 6 DE HONORARIOS DEL  CONTRATO 266 DE 2021 - PERIODO 01 AL 31 DE JULIO  DEL 2021 - OBJETO A HONORARIOS ART.424</t>
  </si>
  <si>
    <t>DS PAGO 07 DE HONORARIOS DEL  CONTRATO 266 DE 2021 - PERIODO DE AGOSTO DEL 2021 - OBJETO A HONORARIOS ART.424</t>
  </si>
  <si>
    <t>DS PAGO 08 DE HONORARIOS DEL  CONTRATO 266 DE 2021 - PERIODO 01 AL 30 DE SEPTIEMBRE DEL 2021 - OBJETO A HONORARIOS ART.424</t>
  </si>
  <si>
    <t>DS PAGO 09 DE HONORARIOS DEL CONTRATO 266 DE 2021 - PERIODO DE OCTUBRE DEL 2021 - OBJETO A HONORARIOS ART.424</t>
  </si>
  <si>
    <t>DS PAGO 10 DE HONORARIOS DEL  CONTRATO 266 DE 2021 - PERIODO DE NOVIEMBRE DEL 2021 - OBJETO A HONORARIOS ART.424</t>
  </si>
  <si>
    <t>DS PAGO 11 DE HONORARIOS DEL  CONTRATO 266 DE 2021 - PERIODO DE DICIEMBRE DEL 2021 - OBJETO A HONORARIOS ART.424</t>
  </si>
  <si>
    <t>CONTRATO  263/2021 JOANETH MELISSA COCA DELGADILLO</t>
  </si>
  <si>
    <t>DS AUTORIZACION DE PAGO 01 CONTRATO 263  de 2021  DEL PERIODO DEL 11 AL 28 DE FEBRERO 2021 -OBJETO C.  HONORARIOS-ART No.424</t>
  </si>
  <si>
    <t>DS AUTORIZACION DE PAGO 02 CONTRATO 263  de 2021  DEL PERIODO DEL 1 AL 31 DE MARZO 2021 -OBJETO C.  HONORARIOS-ART No.424</t>
  </si>
  <si>
    <t>DS AUTORIZACION DE PAGO 03 CONTRATO 263  de 2021  DEL PERIODO DEL 1 AL 30 DE ABRIL 2021 -OBJETO C.  HONORARIOS-ART No.424</t>
  </si>
  <si>
    <t>DS AUTORIZACION DE PAGO 04 CONTRATO 263  de 2021  DEL PERIODO DEL 1 AL 31 DE MAYO  2021 -OBJETO C.  HONORARIOS-ART No.424</t>
  </si>
  <si>
    <t>DS AUTORIZACION DE PAGO 05 CONTRATO 263  de 2021  DEL PERIODO DEL 1 AL 30 DE JUNIO  2021 -OBJETO C.  HONORARIOS-ART No.424</t>
  </si>
  <si>
    <t>DS AUTORIZACION DE PAGO 06 CONTRATO 263  de 2021  DEL PERIODO DEL 1 AL 31 DE JULIO  2021 -OBJETO C.  HONORARIOS-ART No.424</t>
  </si>
  <si>
    <t>DS AUTORIZACION DE PAGO 7 CONTRATO 263 DE 2021 - PERIODO DE AGOSTO 2021 OBJETO  C  HONORARIOS-ART No 424</t>
  </si>
  <si>
    <t>DS AUTORIZACION DE PAGO 8 CONTRATO 263 DE 202 - PERIODO DE SEPTIEMBRE 2021 -OBJETO  C.  HONORARIOS-ART No.424</t>
  </si>
  <si>
    <t>DS AUTORIZACION DE PAGO 9 CONTRATO 263 DE 2021  PERIODO DE 1 A 31 DE OCTUBRE DE 2021 OBJETO C HONORARIOS ART 424</t>
  </si>
  <si>
    <t>DS AUTORIZACION DE PAGO 10 CONTRATO 263 DE 2021  PERIODO DE 1 A 30 DE NOVIEMBRE DE 2021 OBJETO C HONORARIOS ART 424</t>
  </si>
  <si>
    <t>DS PAGO 11 OBJETO C CONTRATO NUMERO 263 DE 2021 PERIODO DE 1 A 10 DE DICIEMBRE DE 2021 ART 424</t>
  </si>
  <si>
    <t>DS PAGO 1 ADICION OBJETO C CONTRATO NUMERO 263 DE 2021 PERIODO DE 11 A 31 DE DICIEMBRE DE 2021 ART 424</t>
  </si>
  <si>
    <t>CONTRATO  171/2021 JONEDER  OSPINA REINA</t>
  </si>
  <si>
    <t>DS AUTORIZACION DE PAGO 01 CONTRATO 171 de 2021  DEL PERIODO DEL 1 AL 28 DE FEBRERO 2021 -OBJETO H.  HONORARIOS-ART No.424</t>
  </si>
  <si>
    <t>DS AUTORIZACION DE PAGO 02 CONTRATO 171  de 2021  DEL PERIODO DEL 01 AL 31 DE FEBRERO 2021 -OBJETO E.  HONORARIOS-ART No.424</t>
  </si>
  <si>
    <t>DS AUTORIZACION DE PAGO 03 CONTRATO 171  de 2021  DEL PERIODO DEL 01 AL 30 DE ABRIL 2021 -OBJETO E.  HONORARIOS-ART No.424</t>
  </si>
  <si>
    <t>DS AUTORIZACION DE PAGO 04 CONTRATO 171 de 2021  DEL PERIODO DEL 1 AL 31  DE MAYO 2021 -OBJETO E.  HONORARIOS-ART No.424</t>
  </si>
  <si>
    <t>DS AUTORIZACION DE PAGO 05 CONTRATO 171 de 2021  DEL PERIODO DEL 1 AL 30  DE JUNIO  2021 -OBJETO E.  HONORARIOS-ART No.424</t>
  </si>
  <si>
    <t>DS AUTORIZACION DE PAGO 06 CONTRATO 171 de 2021  DEL PERIODO DEL 1 AL 31  DE JULIO  2021 -OBJETO E.  HONORARIOS-ART No.424</t>
  </si>
  <si>
    <t>DS AUTORIZACION DE PAGO 7 CONTRATO 171 DE 2021 - PERIODO DE AGOSTO DE 2020  - OBJETO E HONORARIOS ART.424</t>
  </si>
  <si>
    <t>AUTORIZACION DE PAGO 8 CONTRATO 171 DE 2021 - PERIODO DEL 1 AL 30 SEPTIEMBRE DE 2021  - OBJETO E HONORARIOS ART.424</t>
  </si>
  <si>
    <t>DS AUTORIZACION DE PAGO 9 CONTRATO 171 DE 2021 - PERIODO DEL 1 AL 31 OCTUBRE DE 2021  - OBJETO E HONORARIOS ART.424</t>
  </si>
  <si>
    <t>DS  PAGO 10 CONTRATO 171 DE 2021 - PERIODO DEL 1 AL 30 NOVIEMBRE DE 2021  - OBJETO E HONORARIOS ART.424</t>
  </si>
  <si>
    <t>DS  PAGO 11 CONTRATO 171 DE 2021 - PERIODO DEL 1 AL 31 DICIEMBRE DE 2021  - OBJETO E HONORARIOS ART.424</t>
  </si>
  <si>
    <t>CONTRATO  231/2021 JUAN CARLOS RAMIREZ ROMERO</t>
  </si>
  <si>
    <t>DS AUTORIZACION DE PAGO 01 CONTRATO 231  DE 2021 DEL PERIODO 8 al 28 de FEBRERO de 2021 -OBJETO A.  HONORARIOS-ART No.424</t>
  </si>
  <si>
    <t>DS AUTORIZACION DE PAGO 02 CONTRATO 231  DE 2021 DEL PERIODO 01 al 31 de MARZO de 2021 -OBJETO A.  HONORARIOS-ART No.424</t>
  </si>
  <si>
    <t>DS AUTORIZACION DE PAGO 03 CONTRATO 231  DE 2021 DEL PERIODO 01 al 30 de ABRIL de 2021 -OBJETO A.  HONORARIOS-ART No.424</t>
  </si>
  <si>
    <t>DS AUTORIZACION DE PAGO 04 CONTRATO 231  DE 2021 DEL PERIODO 01 al 31 de MAYO de 2021 -OBJETO A.  HONORARIOS-ART No.424</t>
  </si>
  <si>
    <t>DS AUTORIZACION DE PAGO 05 CONTRATO 231  DE 2021 DEL PERIODO 01 al 30 de JUNIO de 2021 -OBJETO A.  HONORARIOS-ART No.424</t>
  </si>
  <si>
    <t>DS AUTORIZACION DE PAGO 06 CONTRATO 231  DE 2021 DEL PERIODO 01 al 31 de JULIO de 2021 -OBJETO A.  HONORARIOS-ART No.424</t>
  </si>
  <si>
    <t>DS AUTORIZACION DE PAGO 07 CONTRATO 231  DE 2021 DEL PERIODO 01 al 31 de AGOSTO de 2021 -OBJETO A.  HONORARIOS-ART No.424</t>
  </si>
  <si>
    <t>DS AUTORIZACION DE PAGO 08 CONTRATO 231  DE 2021 DEL PERIODO 01 al 30 de SEPTIEMBRE de 2021 -OBJETO A.  HONORARIOS-ART No.424</t>
  </si>
  <si>
    <t>DS AUTORIZACION DE PAGO 9 CONTRATO 231  DE 2021 DEL PERIODODEL 1 A 31 DE OCTUBRE de 2021 -OBJETO A.  HONORARIOS-ART No.424</t>
  </si>
  <si>
    <t>DS AUTORIZACION DE PAGO 10 CONTRATO 231  DE 2021 DEL PERIODODEL 1 A 30 DE NOVIEMBRE de 2021 OBJETO A HONORARIOS-ART No 424</t>
  </si>
  <si>
    <t>DS AUTORIZACION DE PAGO 11 CONTRATO 231  DE 2021 DEL PERIODODEL 1 A 31 DE DICIEMBRE  de 2021 OBJETO A HONORARIOS ART No 424</t>
  </si>
  <si>
    <t>CONTRATO  245/2021 LAURA  BORREGO SANCHEZ</t>
  </si>
  <si>
    <t>DS AUTORIZACION DE PAGO 01 CONTRATO 245 de 2021  DEL PERIODO DEL 10 AL 28 DE FEBRERO 2021 -OBJETO A.  HONORARIOS-ART No.424</t>
  </si>
  <si>
    <t>DS AUTORIZACION DE PAGO 02 CONTRATO 245 de 2021  DEL PERIODO DEL 1 AL 31 DE MARZO 2021 -OBJETO A.  HONORARIOS-ART No.424</t>
  </si>
  <si>
    <t>DS AUTORIZACION DE PAGO 03 CONTRATO 245 de 2021  DEL PERIODO DEL 1 AL 30 DE ABRIL 2021 -OBJETO A.  HONORARIOS-ART No.424</t>
  </si>
  <si>
    <t>DS AUTORIZACION DE PAGO 04 CONTRATO 245 de 2021  DEL PERIODO DEL 10 AL 31 DE MAYO  2021 -OBJETO A.  HONORARIOS-ART No.424</t>
  </si>
  <si>
    <t>DS AUTORIZACION DE PAGO 05 CONTRATO 245 de 2021  DEL PERIODO DEL 10 AL 30 DE JUNIO  2021 -OBJETO A.  HONORARIOS-ART No.424</t>
  </si>
  <si>
    <t>DS AUTORIZACION DE PAGO 06 CONTRATO 245 de 2021  DEL PERIODO DEL 10 AL 31 DE JULIO  2021 -OBJETO A.  HONORARIOS-ART No.424</t>
  </si>
  <si>
    <t>DS AUTORIZACION DE PAGO 07 CONTRATO 245 de 2021  DEL PERIODO DEL 1 AL 31 DE AGOSTO  2021 -OBJETO A.  HONORARIOS-ART No.424</t>
  </si>
  <si>
    <t>DS AUTORIZACION DE PAGO 08 CONTRATO 245 de 2021  DEL PERIODO DEL 01 AL 30 DE septiembre 2021 -OBJETO A.  HONORARIOS ART No 424</t>
  </si>
  <si>
    <t>DS AUTORIZACION DE PAGO 09 CONTRATO 245 de 2021  DEL PERIODO DEL 1 AL 31 DE OCTUBRE  2021 -OBJETO A.  HONORARIOS-ART No.424</t>
  </si>
  <si>
    <t>DS PAGO 10 OBJETO A contrato No. 245 de 2021, del período comprendido entre el 01 al 30 de noviembre de 2021 ART 424</t>
  </si>
  <si>
    <t>DS AUTORIZACION DE PAGO 11 CONTRATO 245 de 2021  DEL PERIODO DEL 1 AL 31 DE DICIEMBRE2021 OBJETO A HONORARIOS ART No 424</t>
  </si>
  <si>
    <t>CONTRATO  160/2021 LEIDY YURANY ALEY PAYA</t>
  </si>
  <si>
    <t>DS AUTORIZACION DE PAGO 02 CONTRATO 160 de 2021  DEL PERIODO DEL 1 AL 28 DE FEBRERO 2021 -OBJETO E.  HONORARIOS-ART No.424</t>
  </si>
  <si>
    <t>LEIDY YURANY ALEY PAYA</t>
  </si>
  <si>
    <t>DS AUTORIZACION DE PAGO 01 CONTRATO 160 de 2021  DEL PERIODO DEL 29 AL 31 DE ENERO 2021 -OBJETO E.  HONORARIOS-ART No.424</t>
  </si>
  <si>
    <t>DS AUTORIZACION DE PAGO 03 CONTRATO 160  de 2021  DEL PERIODO DEL 01 AL 31 DE MARZO 2021 -OBJETO E.  HONORARIOS-ART No.424</t>
  </si>
  <si>
    <t>DS AUTORIZACION DE PAGO 04 CONTRATO 160 de 2021  DEL PERIODO DEL 01 AL 30 DE ABRIL 2021 -OBJETO E.  HONORARIOS-ART No.424</t>
  </si>
  <si>
    <t>DS AUTORIZACION DE PAGO 5 CONTRATO 160 DE 2021 - PERIODO DEL 01 AL 31 MAYO DE 2021  - OBJETO E HONORARIOS ART.424</t>
  </si>
  <si>
    <t>DS AUTORIZACION DE PAGO 06 CONTRATO 160 de 2021  DEL PERIODO DEL 01 AL 30 DE JUNIO 2021 -OBJETO E.  HONORARIOS-ART No.424</t>
  </si>
  <si>
    <t>DS AUTORIZACION DE PAGO 07 CONTRATO 160 de 2021  DEL PERIODO DEL 01 AL 31 DE JULIO 2021 -OBJETO E.  HONORARIOS-ART No.424</t>
  </si>
  <si>
    <t>DS AUTORIZACION DE PAGO 08 CONTRATO 160 de 2021  DEL PERIODO DEL 01 AL 31 DE AGOSTO 2021 -OBJETO E.  HONORARIOS-ART No.424</t>
  </si>
  <si>
    <t>DS AUTORIZACION DE PAGO 09 CONTRATO 160 de 2021  DEL PERIODO DEL 01 AL 30 DE SEPTIEMBRE 2021 -OBJETO E  HONORARIOS-ART No 424</t>
  </si>
  <si>
    <t>DS PAGO N.10 contrato 160de 2021, conforme a la cláusulaNo 9 del período comprendido entre el 01 yel 31 de octubre de 2021. objeto EHONORARIOS ART.424</t>
  </si>
  <si>
    <t>DS AUTORIZACION DE PAGO 11 contrato No 160 de 2021 conforme a la cláusula No 9 del período comprendido entre el 01 y el 30 de NOVIEMBRE  de 2021 objeto E HONORARIOS ART 424</t>
  </si>
  <si>
    <t>DS AUTORIZACION PAGO 12 contrato No. 160 de 2021, del período comprendido entre el 01 y el 31 de diciembre de 2021. objeto E HONORARIOS ART.424</t>
  </si>
  <si>
    <t>CONTRATO  130/2021 LEONARDO  BUNCH RODRIGUEZ</t>
  </si>
  <si>
    <t>DS AUTORIZACION DE PAGO 01 CONTRATO 130 de 2021  DEL PERIODO DEL 28 AL 31 DE ENERO 2021 -OBJETO A.  HONORARIOS-ART No.424</t>
  </si>
  <si>
    <t>DS AUTORIZACION DE PAGO 02 CONTRATO 130 de 2021  DEL PERIODO DEL 1 AL 28 DE FEBRERO 2021 -OBJETO A.  HONORARIOS-ART No.424</t>
  </si>
  <si>
    <t>DS AUTORIZACION DE PAGO 03 CONTRATO 130 de 2021  DEL PERIODO DEL 1 AL 31 DE MARZO 2021 -OBJETO A.  HONORARIOS-ART No.424</t>
  </si>
  <si>
    <t>DS AUTORIZACION DE PAGO 04 CONTRATO 130 de 2021  DEL PERIODO DEL 1 AL 30 DE ABRIL 2021 -OBJETO A.  HONORARIOS-ART No.424</t>
  </si>
  <si>
    <t>DS AUTORIZACION DE PAGO 05 CONTRATO 130 de 2021  DEL PERIODO DEL 1 AL 31 DE MAYO 2021 -OBJETO A.  HONORARIOS-ART No.424</t>
  </si>
  <si>
    <t>DS AUTORIZACION DE PAGO 06 CONTRATO 130 de 2021  DEL PERIODO DEL 1 AL 30 DE JUNIO 2021 -OBJETO A.  HONORARIOS-ART No.424</t>
  </si>
  <si>
    <t>DS AUTORIZACION DE PAGO 07 CONTRATO 130 de 2021  DEL PERIODO DEL 1 AL 31 DE JULIO 2021 -OBJETO A.  HONORARIOS-ART No.424</t>
  </si>
  <si>
    <t>CONTRATO  267/2021 LILIA ALEJANDRA SANCLEMENTE VELASQUEZ</t>
  </si>
  <si>
    <t>DS AUTORIZACION DE PAGO 01 CONTRATO 267 de 2021  DEL PERIODO DEL 11 AL 28 DE FEBRERO 2021 -OBJETO H.  HONORARIOS-ART No.424</t>
  </si>
  <si>
    <t>DS AUTORIZACION DE PAGO 02 CONTRATO 267 de 2021  DEL PERIODO DEL 01 AL 31 DE MARZO 2021 -OBJETO E.  HONORARIOS-ART No.424</t>
  </si>
  <si>
    <t>DS AUTORIZACION DE PAGO 03 CONTRATO 267 de 2021  DEL PERIODO DEL 01 AL 30 DE ABRIL 2021 -OBJETO H.  HONORARIOS-ART No.424</t>
  </si>
  <si>
    <t>DS AUTORIZACION DE PAGO 04 CONTRATO 267 de 2021  DEL PERIODO DEL 01 AL 31 DE MAYO 2021 -OBJETO E.  HONORARIOS-ART No.424</t>
  </si>
  <si>
    <t>DS AUTORIZACION DE PAGO 05 CONTRATO 267 de 2021  DEL PERIODO DEL 01 AL 30 DE JUNIO 2021 -OBJETO E.  HONORARIOS-ART No.424</t>
  </si>
  <si>
    <t>DS AUTORIZACION DE PAGO 06 CONTRATO 267 de 2021  DEL PERIODO DEL 01 AL 31 DE JULIO 2021 -OBJETO E.  HONORARIOS-ART No.424</t>
  </si>
  <si>
    <t>DS AUTORIZACION DE PAGO 07 CONTRATO 267 de 2021  DEL PERIODO DEL 01 AL 31 DE AGOSTO 2021 -OBJETO E.  HONORARIOS-ART No.424</t>
  </si>
  <si>
    <t>DS AUTORIZACION DE PAGO 08 CONTRATO 267 de 2021  DEL PERIODO DEL 01 AL 30 DE SEPTIEMBRE 2021 -OBJETO E.  HONORARIOS-ART No.424</t>
  </si>
  <si>
    <t>DS AUTORIZACION DE PAGO 09 CONTRATO 267 de 2021  DEL PERIODO DEL 01 AL 31 DE OCTUBRE  2021 -OBJETO E.  HONORARIOS-ART No.424</t>
  </si>
  <si>
    <t>DS AUTORIZACION DE PAGO 10 CONTRATO 267 de 2021  DEL PERIODO DEL 1 A 30 DE NOVIEMBRE 2021 -OBJETO E  HONORARIOS-ART No 424</t>
  </si>
  <si>
    <t>DS PAGO 11 CONTRATO 267 de 2021  DEL PERIODO DEL 01 AL 31 DE DICIEMBRE 2021 -OBJETO E.  HONORARIOS-ART No.424</t>
  </si>
  <si>
    <t>CONTRATO  199/2021 LINDA YANETH ORREGO GIL</t>
  </si>
  <si>
    <t>DS AUTORIZACION DE PAGO 1 CONTRATO 199 de 2021  DEL PERIODO DEL 4 AL 28 DE FEBRERO 2021 -OBJETO G.  HONORARIOS-ART No.424</t>
  </si>
  <si>
    <t>DS AUTORIZACION DE PAGO 2 CONTRATO 199 de 2021  DEL PERIODO DEL 01 AL 31 DE MARZO 2021 -OBJETO G.  HONORARIOS-ART No.424</t>
  </si>
  <si>
    <t>DS AUTORIZACION DE PAGO 3 CONTRATO 199 de 2021  DEL PERIODO DEL 01 AL 30 DE ABRIL 2021 -OBJETO G.  HONORARIOS-ART No.424</t>
  </si>
  <si>
    <t>DS AUTORIZACION DE PAGO 4 CONTRATO 199 de 2021  DEL PERIODO DEL 01 AL 31 DE MAYO  2021 -OBJETO G.  HONORARIOS-ART No.424</t>
  </si>
  <si>
    <t>DS AUTORIZACION DE PAGO 5 CONTRATO 199 de 2021  DEL PERIODO DEL 01 AL 30 DE JUNIO 2021 -OBJETO G.  HONORARIOS-ART No.424</t>
  </si>
  <si>
    <t>DS AUTORIZACION DE PAGO 6 CONTRATO 199 de 2021  DEL PERIODO DEL 01 AL 31 DE JULIO 2021 -OBJETO G.  HONORARIOS-ART No.424</t>
  </si>
  <si>
    <t>DS PAGO 7 DE HONORARIOS DEL  CONTRATO 199  DE 2021 - PERIODO DE AGOSTO DE 2021 - OBJETO -G</t>
  </si>
  <si>
    <t>DS PAGO 8 DE HONORARIOS DEL CONTRATO 199 DE 2021 - PERIODO DEL 1 AL 30 DE SEPTIEMBRE DE 2021 - OBJETO -G</t>
  </si>
  <si>
    <t>DS AUTORIZACION DE PAGO 9 DE HONORARIOS DEL  CONTRATO 199 DE 2021 - PERIODO 1 A 31 DE OCTUBRE DE 2021 - OBJETO -G ART 424</t>
  </si>
  <si>
    <t>DS PAGO 10 DE HONORARIOS DEL  CONTRATO 199  DE 2021 - PERIODO DE NOVIEMBRE DE 2021 - OBJETO -G HONORARIOS-ART No.424</t>
  </si>
  <si>
    <t>DS PAGO 11 DE HONORARIOS DEL  CONTRATO 199  DE 2021 - PERIODO DE DICIEMBRE DE 2021 - OBJETO -G HONORARIOS-ART No.424</t>
  </si>
  <si>
    <t>CONTRATO  255/2021 LIZZETH GERALDINE TAVERA GONZALEZ</t>
  </si>
  <si>
    <t>DS AUTORIZACION DE PAGO 01 CONTRATO 255 de 2021  DEL PERIODO DEL 09 AL 28 DE FEBRERO 2021 -OBJETO A.  HONORARIOS-ART No.424</t>
  </si>
  <si>
    <t>DS AUTORIZACION DE PAGO 02 CONTRATO 255 de 2021  DEL PERIODO DEL 01 AL 31 DE MARZO 2021 -OBJETO A.  HONORARIOS-ART No.424</t>
  </si>
  <si>
    <t>DS AUTORIZACION DE PAGO 03 CONTRATO 255 de 2021  DEL PERIODO DEL 01 AL 30 DE ABRIL 2021 -OBJETO A.  HONORARIOS-ART No.424</t>
  </si>
  <si>
    <t>DS AUTORIZACION DE PAGO 04 CONTRATO 255 de 2021  DEL PERIODO DEL 01 AL 31 DE MAYO 2021 -OBJETO A.  HONORARIOS-ART No.424</t>
  </si>
  <si>
    <t>DS AUTORIZACION DE PAGO 05 CONTRATO 255 de 2021  DEL PERIODO DEL 01 AL 30 DE JUNIO 2021 -OBJETO A.  HONORARIOS-ART No.424</t>
  </si>
  <si>
    <t>DS AUTORIZACION DE PAGO 06 CONTRATO 255 de 2021  DEL PERIODO DEL 01 AL 31 DE JULIO 2021 -OBJETO A.  HONORARIOS-ART No.424</t>
  </si>
  <si>
    <t>DS PAGO 07  DE HONORARIOS DEL  CONTRATO 255 DE 2021 - PERIODO DE AGOSTO  DEL 2021 - OBJETO A  HONORARIOS ART.424</t>
  </si>
  <si>
    <t>DS AUTORIZACION DE PAGO 08 CONTRATO 255 de 2021  DEL PERIODO DEL 01 AL 30 DE SEPTIEMBRE 2021 -OBJETO A.  HONORARIOS-ART No.424</t>
  </si>
  <si>
    <t>DS PAGO 9  DE HONORARIOS DEL  CONTRATO 255 DE 2021 - PERIODO DE 1 A 31 DE OCTUBRE  - OBJETO A HONORARIOS ART.424</t>
  </si>
  <si>
    <t>DS PAGO 10  DE HONORARIOS DEL  CONTRATO 255 DE 2021 PERIODO DE 1 A 30 DE NOVIEMBRE OBJETO A HONORARIOS ART 424</t>
  </si>
  <si>
    <t>DS PAGO 11  DE HONORARIOS DEL  CONTRATO 255 DE 2021 - PERIODO DE 1 A 31 DE DICIEMBRE  - OBJETO A HONORARIOS ART.424</t>
  </si>
  <si>
    <t>CONTRATO  182/2021 LUIS ALBERTO MORENO ANGARITA</t>
  </si>
  <si>
    <t>DS AUTORIZACION DE PAGO 01 CONTRATO 182 de 2021  DEL PERIODO DEL 2 AL 28 DE FEBRERO 2021 -OBJETO C.  HONORARIOS-ART No.424</t>
  </si>
  <si>
    <t>DS AUTORIZACION DE PAGO 02 CONTRATO 182 de 2021  DEL PERIODO DEL 01 AL 31 DE MARZO 2021 -OBJETO C.  HONORARIOS-ART No.424</t>
  </si>
  <si>
    <t>DS AUTORIZACION DE PAGO 03 CONTRATO 182 de 2021  DEL PERIODO DEL 01 AL 30 DE ABRIL 2021 -OBJETO C.  HONORARIOS-ART No.424</t>
  </si>
  <si>
    <t>DS PAGO 04 DE HONORARIOS DEL  CONTRATO 182 DE 2021 - PERIODO DE 01 AL 31 DE MAYO DEL 2021 - OBJETO C HONORARIOS ART.424</t>
  </si>
  <si>
    <t>DS AUTORIZACION DE PAGO 05 CONTRATO 182 de 2021  DEL PERIODO DEL 01 AL 30 DE JUNIO  2021 -OBJETO C.  HONORARIOS-ART No.424</t>
  </si>
  <si>
    <t>DS AUTORIZACION DE PAGO 06 CONTRATO 182 de 2021  DEL PERIODO DEL 01 AL 31 DE JULIO  2021 -OBJETO C.  HONORARIOS-ART No.424</t>
  </si>
  <si>
    <t>DS PAGO 07 DE HONORARIOS DEL  CONTRATO 182 DE 2021 - PERIODO DE AGOSTO DEL 2021 - OBJETO C HONORARIOS ART.424</t>
  </si>
  <si>
    <t>DS AUTORIZACION DE PAGO 08 DE HONORARIOS DEL  CONTRATO 182 DE 2021 - PERIODO DEL 1 AL 30 DE SEPTIEMBRE DEL 2021 - OBJETO C HONORARIOS ART.424</t>
  </si>
  <si>
    <t>DS AUTORIZACION DE PAGO 09 DE HONORARIOS DEL  CONTRATO 182 DE 2021 - PERIODO DEL 1 AL 31 DE OCTUBRE DEL 2021 - OBJETO C HONORARIOS ART.424</t>
  </si>
  <si>
    <t>PAGO 10 OBJETO G  contrato No.182 de 2021 conforme a la cláusula No. lX Pago No (10) del  01 de NOVIEMBRE al 30 de NOVIEMBRE 2021 ART 424</t>
  </si>
  <si>
    <t>DS AUTORIZACION DE PAGO 11 DE HONORARIOS DEL  CONTRATO 182 DE 2021 PERIODO DEL 1 AL 31 DE DICIEMBRE DEL 2021 OBJETO C HONORARIOS ART 424</t>
  </si>
  <si>
    <t>CONTRATO  241/2021 LUIS GABRIEL ARBELAEZ MARIN</t>
  </si>
  <si>
    <t>DS AUTORIZACION DE PAGO 01 CONTRATO 241 de 2021  DEL PERIODO DEL 09 AL 28 DE FEBRERO 2021 -OBJETO H.  HONORARIOS-ART No.424</t>
  </si>
  <si>
    <t>DS AUTORIZACION DE PAGO 02 CONTRATO 241 de 2021  DEL PERIODO DEL 01 AL 08 DE MARZO 2021 -OBJETO H.  HONORARIOS-ART No.424</t>
  </si>
  <si>
    <t>CONTRATO  242/2021 LUZ MYRIAM PUENTES CORREDOR</t>
  </si>
  <si>
    <t>DS AUTORIZACION DE PAGO 01 CONTRATO 242  de 2021  DEL PERIODO DEL 10 AL 28 DE FEBRERO 2021 -OBJETO H.  HONORARIOS-ART No.424</t>
  </si>
  <si>
    <t>DS AUTORIZACION DE PAGO 02 CONTRATO 242  de 2021  DEL PERIODO DEL 1 AL 31 DE MARZO 2021 -OBJETO H.  HONORARIOS-ART No.424</t>
  </si>
  <si>
    <t>DS AUTORIZACION DE PAGO 03 CONTRATO 242  de 2021  DEL PERIODO DEL 1 AL 30 DE ABRIL 2021 -OBJETO H.  HONORARIOS-ART No.424</t>
  </si>
  <si>
    <t>DS AUTORIZACION DE PAGO 04 CONTRATO 242  de 2021  DEL PERIODO DEL 1 AL 31 DE MAYO 2021 -OBJETO H.  HONORARIOS-ART No.424</t>
  </si>
  <si>
    <t>DS AUTORIZACION DE PAGO 05 CONTRATO 242  de 2021  DEL PERIODO DEL 1 AL 30 DE JUNIO  2021 -OBJETO H.  HONORARIOS-ART No.424</t>
  </si>
  <si>
    <t>DS AUTORIZACION DE PAGO 06 CONTRATO 242  de 2021  DEL PERIODO DEL 1 AL 31 DE JUlIO  2021 -OBJETO H.  HONORARIOS-ART No.424</t>
  </si>
  <si>
    <t>DS PAGO 07 CONTRATO 242  DE 2021 - PERIODO DE  01 al 31 DE AGOSTO   DEL 2021 - OBJETO H HONORARIOS ART.424</t>
  </si>
  <si>
    <t>DS PAGO 08 CONTRATO 242  DE 2021 - PERIODO DE  01 al 30 DE SEPTIEMBRE DEL 2021 - OBJETO H HONORARIOS ART.424</t>
  </si>
  <si>
    <t>DS PAGO 9 CONTRATO 242 DE 2021 - PERIODO DE  1 A 31 DE OCTUBRE DE 2021 - OBJETO H HONORARIOS ART.424</t>
  </si>
  <si>
    <t>DS PAGO 10 OBJETO H Prestación de servicios profesionales por el contrato No. 242 de 2021 conforme a la cláusula No. 9 del período comprendido entre el 01 y el 30 de noviembre de 2021</t>
  </si>
  <si>
    <t>DS PAGO 11 contrato No. 242 de 2021 del período comprendido entre el 01 y el 31 de diciembre de 2021. OBJETO H HONORARIOS-ART No.424</t>
  </si>
  <si>
    <t>CONTRATO  337/2021 MARIA ALEJANDRA SANTOS YEPES</t>
  </si>
  <si>
    <t>DS AUTORIZACION DE PAGO 1 CONTRATO 337  DEL PERIODO DEL 26 DE FEBRERO AL 28  DE  2021 -OBJETO A.  HONORARIOS-ART No.424</t>
  </si>
  <si>
    <t>DS AUTORIZACION DE PAGO 2 CONTRATO 337  DEL PERIODO DEL 1  AL 31  DE  MARZO 2021 -OBJETO A.  HONORARIOS-ART No.424</t>
  </si>
  <si>
    <t>DS AUTORIZACION DE PAGO 3 CONTRATO 337  DEL PERIODO DEL 1  AL 30  DE  ABRIL 2021 -OBJETO A.  HONORARIOS-ART No.424</t>
  </si>
  <si>
    <t>DS AUTORIZACION DE PAGO 4 CONTRATO 337  DEL PERIODO DEL 1  AL 31  DE  MAYO 2021 -OBJETO A.  HONORARIOS-ART No.424</t>
  </si>
  <si>
    <t>DS AUTORIZACION DE PAGO 5 CONTRATO 337  DEL PERIODO DEL 1  AL 30  DE  JUNIO 2021 -OBJETO A.  HONORARIOS-ART No.424</t>
  </si>
  <si>
    <t>DS AUTORIZACION DE PAGO 6 CONTRATO 337  DEL PERIODO DEL 1  AL 31  DE  JULIO 2021 -OBJETO A.  HONORARIOS-ART No.424</t>
  </si>
  <si>
    <t>DS PAGO 07 CONTRATO 337  DEL PERIODO AGSOTO 2021 -OBJETO A.  HONORARIOS-ART No.424</t>
  </si>
  <si>
    <t>DS AUTORIZACION DE PAGO 8 CONTRATO 337 DE 2021 DEL PERIODO DEL 01 AL 30 DE SEPTIEMBRE DE  2021 -OBJETO A.  HONORARIOS-ART No.424</t>
  </si>
  <si>
    <t>DS AUTORIZACION DE PAGO 9 CONTRATO 337 DE 2021 PERIODO DE 1 A 31 DE OCTUBRE DE 2021 -OBJETO A.  HONORARIOS-ART No.424</t>
  </si>
  <si>
    <t>DS AUTORIZACION DE PAGO 10 CONTRATO 337 DE 2021 PERIODO DE 1 A 30 DE NOVIEMBRE DE 2021 -OBJETO A.  HONORARIOS-ART No.424</t>
  </si>
  <si>
    <t>DS PAGO 11 CONTRATO 337 DE 2021 PERIODO DE 1 A 31 DE DICIEMBRE DE 2021 -OBJETO A.  HONORARIOS-ART No.424</t>
  </si>
  <si>
    <t>CONTRATO  264/2021 MARIA ALEXANDRA MERLANO MORALES</t>
  </si>
  <si>
    <t>DS AUTORIZACION DE PAGO 01 CONTRATO 264 de 2021  DEL PERIODO DEL 10 AL 28 DE FEBRERO 2021 -OBJETO H.  HONORARIOS-ART No.424</t>
  </si>
  <si>
    <t>DS AUTORIZACION DE PAGO 02 CONTRATO 264 de 2021  DEL PERIODO DEL 01 AL 31 DE MARZO 2021 -OBJETO A.  HONORARIOS-ART No.424</t>
  </si>
  <si>
    <t>DS AUTORIZACION DE PAGO 03 CONTRATO 264 de 2021  DEL PERIODO DEL 01 AL 30 DE ABRIL  2021 -OBJETO A.  HONORARIOS-ART No.424</t>
  </si>
  <si>
    <t>DS AUTORIZACION DE PAGO 04 CONTRATO 264 de 2021  DEL PERIODO DEL 10 AL 31 DE MAYO  2021 -OBJETO A.  HONORARIOS-ART No.424</t>
  </si>
  <si>
    <t>DS AUTORIZACION DE PAGO 05 CONTRATO 264 de 2021  DEL PERIODO DEL 1 AL 30 DE JUNIO  2021 -OBJETO A.  HONORARIOS-ART No.424</t>
  </si>
  <si>
    <t>DS AUTORIZACION DE PAGO 06 CONTRATO 264 de 2021  DEL PERIODO DEL 1 AL 31 DE JULIO  2021 -OBJETO A.  HONORARIOS-ART No.424</t>
  </si>
  <si>
    <t>DS AUTORIZACION DE PAGO 07 CONTRATO 264 de 2021  DEL PERIODO DEL 1 AL 31 DE AGOSTO  2021 -OBJETO A.  HONORARIOS-ART No.424</t>
  </si>
  <si>
    <t>DS AUTORIZACION DE PAGO 08 CONTRATO 264 de 2021  DEL PERIODO DEL 1 AL 30 DE SEPTIEMBRE  2021 -OBJETO A.  HONORARIOS-ART No.424</t>
  </si>
  <si>
    <t>DS AUTORIZACION DE PAGO 09 CONTRATO 264 de 2021  DEL PERIODO DEL 1 AL 31 DE OCTUBRE  2021 -OBJETO A.  HONORARIOS-ART No.424</t>
  </si>
  <si>
    <t>DS PAGO NUMERO 10 OBJETO A contrato No. 264 de 2021 conforme a la cláusula No Tercera del período comprendido entre el 1 y el 30 de noviembre de 2021 ART 324</t>
  </si>
  <si>
    <t>DS AUTORIZACION DE PAGO 11 CONTRATO 264 de 2021  DEL PERIODO DEL 1 AL 31 DE DICIEMBRE 2021 OBJETO A HONORARIOS ART No 424</t>
  </si>
  <si>
    <t>CONTRATO  161/2021 MARIA EDITH FINDLAY SOTO</t>
  </si>
  <si>
    <t>DS AUTORIZACION DE PAGO 01 CONTRATO 161 de 2021  DEL PERIODO DEL 1 AL 28 DE FEBRERO 2021 -OBJETO H.  HONORARIOS-ART No.424</t>
  </si>
  <si>
    <t>DS AUTORIZACION DE PAGO 02 CONTRATO 161 de 2021  DEL PERIODO DEL 1 AL 31 DE MARZO 2021 -OBJETO H.  HONORARIOS-ART No.424</t>
  </si>
  <si>
    <t>DS AUTORIZACION DE PAGO 03 CONTRATO 161 de 2021  DEL PERIODO DEL 1 AL 30 DE ABRIL 2021 -OBJETO H.  HONORARIOS-ART No.424</t>
  </si>
  <si>
    <t>DS AUTORIZACION DE PAGO 04 CONTRATO 161 de 2021  DEL PERIODO DEL 1 AL 31 DE MAYO 2021 -OBJETO H.  HONORARIOS-ART No.424</t>
  </si>
  <si>
    <t>DS AUTORIZACION DE PAGO 05 CONTRATO 161 de 2021  DEL PERIODO DEL 1 AL 30 DE JUNIO 2021 -OBJETO H.  HONORARIOS-ART No.424</t>
  </si>
  <si>
    <t>DS AUTORIZACION DE PAGO 06 CONTRATO 161 de 2021  DEL PERIODO DEL 1 AL 31 DE JULIO 2021 -OBJETO H.  HONORARIOS-ART No.424</t>
  </si>
  <si>
    <t>DS AUTORIZACION DE PAGO 07 CONTRATO 161 de 2021  DEL PERIODO DEL 1 AL 31 DE AGOSTO 2021 -OBJETO H.  HONORARIOS-ART No.424</t>
  </si>
  <si>
    <t>DS AUTORIZACION DE PAGO 08 CONTRATO 161 de 2021  DEL PERIODO DEL 1 AL 30 DE SEPTIEMBRE 2021 -OBJETO H.  HONORARIOS-ART No.424</t>
  </si>
  <si>
    <t>DS AUTORIZACION DE PAGO 09 CONTRATO 161 de 2021  DEL PERIODO DEL 1 AL 31 DE OCTUBRE 2021 -OBJETO H.  HONORARIOS-ART No.424</t>
  </si>
  <si>
    <t>DS PAGO NUMERO 10 Prestación de servicios profesionales por el contrato No. 161 de 2021, conforme a la cláusula No. 9, del período comprendido de 1° AL 30 DE NOVIEMBRE DE 2021. OBJETO H ART 424.</t>
  </si>
  <si>
    <t>DS PAGO NUMERO 11 Prestación de servicios profesionales por el contrato No. 161 de 2021, del período comprendido de 1° AL 31 DE DICIEMBRE DE 2021. OBJETO H ART 424.</t>
  </si>
  <si>
    <t>CONTRATO  271/2021 MARIA MARIA GONZALEZ ARISTIZABAL</t>
  </si>
  <si>
    <t>DS PAGO 1 DE HONORARIOS DEL  CONTRATO 271 DE 2021 - PERIODO 11 AL 28 DE FEBRERO  DEL 2021 - OBJETO A HONORARIOS ART.424</t>
  </si>
  <si>
    <t>MARIA MARIA GONZALEZ ARISTIZABAL</t>
  </si>
  <si>
    <t>DS AUTORIZACION DE PAGO 2 DE HONORARIOS DEL  CONTRATO 271 DE 2021 - PERIODO 01 AL 31 DE MARZO DEL 2021 - OBJETO A HONORARIOS ART.424</t>
  </si>
  <si>
    <t>DS AUTORIZACION DE PAGO 3 DE HONORARIOS DEL  CONTRATO 271 DE 2021 - PERIODO 01 AL 30 DE ABRIL DEL 2021 - OBJETO A HONORARIOS ART.424</t>
  </si>
  <si>
    <t>DS PAGO 4 DE HONORARIOS DEL  CONTRATO 271 DE 2021 - PERIODO 01 AL 31 DE MAYO   DEL 2021 - OBJETO A HONORARIOS ART.424</t>
  </si>
  <si>
    <t>DS AUTORIZACION DE PAGO 5 DE HONORARIOS DEL  CONTRATO 271 DE 2021 - PERIODO 01 AL 30 DE JUNIO DEL 2021 - OBJETO A HONORARIOS ART.424</t>
  </si>
  <si>
    <t>DS AUTORIZACION DE PAGO 6 DE HONORARIOS DEL  CONTRATO 271 DE 2021 - PERIODO 01 AL 31 DE JULIO DEL 2021 - OBJETO A HONORARIOS ART.424</t>
  </si>
  <si>
    <t>DS AUTORIZACION DE PAGO 7 DE HONORARIOS DEL  CONTRATO 271 DE 2021 - PERIODO 01 AL 31 DE AGOSTO DEL 2021 - OBJETO A HONORARIOS ART.424</t>
  </si>
  <si>
    <t>DS AUTORIZACION DE PAGO 8 DE HONORARIOS DEL  CONTRATO 271 DE 2021 - PERIODO 01 AL 30 DE SEPTIEMBRE DEL 2021 - OBJETO A HONORARIOS ART.424</t>
  </si>
  <si>
    <t>DS PAGO 9 DE HONORARIOS DEL  CONTRATO 271 DE 2021 - PERIODO 1 A 31 DE OCTUBRE DEL 2021 - OBJETO A HONORARIOS ART.424</t>
  </si>
  <si>
    <t>DS PAGO 10 contrato No. 271 de 2021, conforme a la cláusula No 9 del período comprendido entre el 01 de noviembre y el 30 de noviembre de 2021 OBJETO A ARTICULO 424</t>
  </si>
  <si>
    <t>CONTRATO  235/2021 MARIA PAULA RODRIGUEZ HERNANDEZ</t>
  </si>
  <si>
    <t>DS AUTORIZACION DE PAGO 01 CONTRATO 235  DEL PERIODO 09 al 28 de FEBRERO de 2021 -OBJETO A.  HONORARIOS-ART No.424</t>
  </si>
  <si>
    <t>DS AUTORIZACION DE PAGO 02 CONTRATO 235  DEL PERIODO 01 al 31 DE MARZO de 2021 -OBJETO A.  HONORARIOS-ART No.424</t>
  </si>
  <si>
    <t>cto 40%</t>
  </si>
  <si>
    <t>DS AUTORIZACION DE PAGO 03 CONTRATO 235  DEL PERIODO 01 al 30 DE ABRIL de 2021 -OBJETO A.  HONORARIOS-ART No.424</t>
  </si>
  <si>
    <t>DS AUTORIZACION DE PAGO 04 CONTRATO 235  DEL PERIODO 01 al 31 DE MAYO de 2021 -OBJETO A.  HONORARIOS-ART No.424</t>
  </si>
  <si>
    <t>DS AUTORIZACION DE PAGO 05 CONTRATO 235  DEL PERIODO 01 al 30 DE JUNIO de 2021 -OBJETO A.  HONORARIOS-ART No.424</t>
  </si>
  <si>
    <t>DS AUTORIZACION DE PAGO 06 CONTRATO 235  DEL PERIODO 01 al 31 DE JULIO de 2021 -OBJETO A.  HONORARIOS-ART No.424</t>
  </si>
  <si>
    <t>DS AUTORIZACION DE PAGO 07 CONTRATO 235  DEL PERIODO 01 al 31 DE AGOSTO de 2021 -OBJETO A.  HONORARIOS-ART No.424</t>
  </si>
  <si>
    <t>DS AUTORIZACION DE PAGO 08 CONTRATO 235  DEL PERIODO 01 al 30 DE SEPTIEMBRE de 2021 -OBJETO A.  HONORARIOS-ART No.424</t>
  </si>
  <si>
    <t>DS AUTORIZACION DE PAGO 09 CONTRATO 235 DEL PERIODO 01 al 31 de Octubre de 2021 -OBJETO A. HONORARIOS-ART No.424</t>
  </si>
  <si>
    <t>DS PAGO 10 OBGETO A Prestación de servicios profesionales por el contrato No. 235 de 2021, conforme a la cláusula No. 9, del período comprendido entre el 01 DE NOVIEMBRE y el 30 de NOVIEMBRE de 2021</t>
  </si>
  <si>
    <t>DS AUTORIZACION DE PAGO 11 Prestación de servicios profesionales por el contrato No 235 de 2021 conforme a la cláusula No 9 del período comprendido entre el 01 al 31 de diciembre de 2021. OBJETO A  HONORARIOS-ART No.424</t>
  </si>
  <si>
    <t>CONTRATO  229/2021 NATALIA  BEJARANO MAYORGA</t>
  </si>
  <si>
    <t>DS AUTORIZACION DE PAGO 01 CONTRATO 229 de 2021  DEL PERIODO DEL 05 AL 28 DE FEBRERO 2021 -OBJETO H.  HONORARIOS-ART No.424</t>
  </si>
  <si>
    <t>DS AUTORIZACION DE PAGO 02 CONTRATO 229 de 2021  DEL PERIODO DEL 1 AL 31 DE MARZO 2021 -OBJETO H.  HONORARIOS-ART No.424</t>
  </si>
  <si>
    <t>DS AUTORIZACION DE PAGO 03 CONTRATO 229 de 2021  DEL PERIODO DEL 1 AL 30 DE ABRIL 2021 -OBJETO H.  HONORARIOS-ART No.424</t>
  </si>
  <si>
    <t>DS AUTORIZACION DE PAGO 04 CONTRATO 229 de 2021  DEL PERIODO DEL 1 AL 31 DE MAYO 2021 -OBJETO H.  HONORARIOS-ART No.424</t>
  </si>
  <si>
    <t>DS AUTORIZACION DE PAGO 05 CONTRATO 229 de 2021  DEL PERIODO DEL 1 AL 30 DE JUNIO 2021 -OBJETO H.  HONORARIOS-ART No.424</t>
  </si>
  <si>
    <t>DS AUTORIZACION DE PAGO 06 CONTRATO 229 de 2021  DEL PERIODO DEL 1 AL 31 DE JULIO 2021 -OBJETO H.  HONORARIOS-ART No.424</t>
  </si>
  <si>
    <t>DS AUTORIZACION DE PAGO 07 CONTRATO 229 de 2021  DEL PERIODO DEL 1 AL 31 DE AGOSTO 2021 -OBJETO H.  HONORARIOS-ART No.424</t>
  </si>
  <si>
    <t>DS AUTORIZACION DE PAGO 08 CONTRATO 229 de 2021  DEL PERIODO DEL 1 AL 30 DE SEPTIEMBRE 2021 -OBJETO H.  HONORARIOS-ART No.424</t>
  </si>
  <si>
    <t>DS PAGO 09 CONTRATO 229 de 2021  DEL PERIODO DEL 1 AL 31 DE OCTUBRE 2021 OBJETO H  HONORARIOS ART 424</t>
  </si>
  <si>
    <t>DS PAGO NUMERO 10 OBJETO H contrato No. 229 de 2021 conforme a la cláusula No. 9 del período comprendido entre el 1 y el 30 de Noviembre de 2021. ART 424</t>
  </si>
  <si>
    <t>PAGO 11  contrato No. 229 de 2021 del período comprendido entre el 1 y el 31 de Diciembre de 2021. OBJETO H ART 424</t>
  </si>
  <si>
    <t>CONTRATO  164/2021 OLGA JOSEFINA THEVENING AMARIS</t>
  </si>
  <si>
    <t>DS AUTORIZACION DE PAGO 01 CONTRATO 164 de 2021  DEL PERIODO DEL 29 AL 31 DE ENERO  2021 -OBJETO H.  HONORARIOS-ART No.424</t>
  </si>
  <si>
    <t>DS AUTORIZACION DE PAGO 02 CONTRATO 164 de 2021  DEL PERIODO DEL 1 AL 28 DE FEBRERO  2021 -OBJETO H.  HONORARIOS-ART No.424</t>
  </si>
  <si>
    <t>DS AUTORIZACION DE PAGO 03 CONTRATO 164 de 2021  DEL PERIODO DEL 1 AL 31 DE MARZO  2021 -OBJETO G.  HONORARIOS-ART No.424</t>
  </si>
  <si>
    <t>DS AUTORIZACION DE PAGO 04 CONTRATO 164 de 2021  DEL PERIODO DEL 1 AL 30 DE ABRIL  2021 -OBJETO G.  HONORARIOS-ART No.424</t>
  </si>
  <si>
    <t>DS AUTORIZACION DE PAGO 05 CONTRATO 164 de 2021  DEL PERIODO DEL 01 AL 31 DE MAYO   2021 -OBJETO G.  HONORARIOS-ART No.424</t>
  </si>
  <si>
    <t>DS AUTORIZACION DE PAGO 06 CONTRATO 164 de 2021  DEL PERIODO DEL 1 AL 30 DE JUNIO  2021 -OBJETO G.  HONORARIOS-ART No.424</t>
  </si>
  <si>
    <t>DS AUTORIZACION DE PAGO 07 CONTRATO 164 de 2021  DEL PERIODO DEL 1 AL 31 DE JULIO  2021 -OBJETO G.  HONORARIOS-ART No.424</t>
  </si>
  <si>
    <t>DS AUTORIZACION DE PAGO 08 CONTRATO 164 de 2021  DEL PERIODO DEL 1 AL 31 DE AGOSTO  2021 -OBJETO G.  HONORARIOS-ART No.424</t>
  </si>
  <si>
    <t>DS PAGO 09 CONTRATO 164  DEL PERIODO SEPTIEMBRE  2021 -LINEA A.  HONORARIOS-ART No.424</t>
  </si>
  <si>
    <t>DS AUTORIZACION DE PAGO 10 CONTRATO 164 de 2021  DEL PERIODO DEL 1 AL 31 DE OCTUBRE  2021 -OBJETO G.  HONORARIOS-ART No.424</t>
  </si>
  <si>
    <t>DS AUTORIZACION DE PAGO 11 CONTRATO 164 DE 2021 DEL PERIODO 1 A 30 DE NOVIEMBRE OBJETO G ART No 424</t>
  </si>
  <si>
    <t>DS PAGO 12 CONTRATO 164 de 2021  DEL PERIODO DEL 1 AL 28 DE DICIEMBRE 2021 OBJETO G HONORARIOS ART No 424</t>
  </si>
  <si>
    <t>CONTRATO  172/2021 PEREZ BLEIDY</t>
  </si>
  <si>
    <t>DS AUTORIZACION DE PAGO 01 CONTRATO 172 de 2021  DEL PERIODO DEL 1 AL 28 DE FEBRERO  2021 -OBJETO H.  HONORARIOS-ART No.424</t>
  </si>
  <si>
    <t>DS AUTORIZACION DE PAGO 02 CONTRATO 172 de 2021  DEL PERIODO DEL 1 AL 31 DE MARZO  2021 -OBJETO C.  HONORARIOS-ART No.424</t>
  </si>
  <si>
    <t>DS AUTORIZACION DE PAGO 03 CONTRATO 172 de 2021  DEL PERIODO DEL 1 AL 30 DE ABRIL  2021 -OBJETO C.  HONORARIOS-ART No.424</t>
  </si>
  <si>
    <t>CONTRATO  290/2021 RIGOBERTO  OLIVELLA ARZUAGA</t>
  </si>
  <si>
    <t>DS AUTORIZACION DE PAGO 01 CONTRATO 290  DEL PERIODO 18 al 28 de FEBRERO de 2021 -OBJETO G.  HONORARIOS-ART No.424</t>
  </si>
  <si>
    <t>DS AUTORIZACION DE PAGO 02 CONTRATO 290  DEL PERIODO 1 al 31 de MARZO de 2021 -OBJETO G.  HONORARIOS-ART No.424</t>
  </si>
  <si>
    <t>DS AUTORIZACION DE PAGO 03 CONTRATO 290  DEL PERIODO 01 al 30 de ABRIL de 2021 -OBJETO G.  HONORARIOS-ART No.424</t>
  </si>
  <si>
    <t>DS AUTORIZACION DE PAGO 04 CONTRATO 290  DEL PERIODO 01 al 31 de MAYO de 2021 -OBJETO G.  HONORARIOS-ART No.424</t>
  </si>
  <si>
    <t>DS AUTORIZACION DE PAGO 05 CONTRATO 290  DEL PERIODO 01 al 30 de JUNIO de 2021 -OBJETO G.  HONORARIOS-ART No.424</t>
  </si>
  <si>
    <t>DS AUTORIZACION DE PAGO 06 CONTRATO 290  DEL PERIODO 01 al 31 de JULIO de 2021 -OBJETO G.  HONORARIOS-ART No.424</t>
  </si>
  <si>
    <t>DS PAGO 7 DE HONORARIOS DEL  CONTRATO 290  DE 2021 - PERIODO DE AGOSTO DE 2021 - OBJETO -G</t>
  </si>
  <si>
    <t>DS AUTORIZACION DE PAGO 8 DE HONORARIOS DEL  CONTRATO 290  DE 2021 - PERIODO DE 1 AL 30 DE SEPTIEMBRE - OBJETO -G</t>
  </si>
  <si>
    <t>DS AUTORIZACION DE PAGO 9 DE HONORARIOS DEL  CONTRATO 290  DE 2021 - PERIODO DE 1 AL 31 DE OCTUBRE - OBJETO -G</t>
  </si>
  <si>
    <t>DS PAGO NUMERO 10 OBJETO G contrato No. 290 de 2021 conforme a la cláusula No. 9 DEL 01 y el 30 de noviembre de 2021 ART 424</t>
  </si>
  <si>
    <t>DS PAGO NUMERO 11 contrato No. 290 de 2021 DEL 01 y el 31 de diciembre de 2021 OBJETO G  HONORARIOS ART 424</t>
  </si>
  <si>
    <t>CONTRATO  259/2021 SATURNINO  SOLER ARIAS</t>
  </si>
  <si>
    <t>DS AUTORIZACION DE PAGO 1 CONTRATO 259  DEL PERIODO DEL 11 AL 28 DE FEBRERO DE  2021 -OBJETO G.  HONORARIOS-ART No.424</t>
  </si>
  <si>
    <t>DS AUTORIZACION DE PAGO 02 CONTRATO 259  DEL PERIODO DEL 01 AL 31 DE MARZO DE  2021 -OBJETO G.  HONORARIOS-ART No.424</t>
  </si>
  <si>
    <t>DS AUTORIZACION DE PAGO 03 CONTRATO 259  DEL PERIODO DEL 01 AL 30 DE ABRIL DE  2021 -OBJETO G.  HONORARIOS-ART No.424</t>
  </si>
  <si>
    <t>DS AUTORIZACION DE PAGO 04 CONTRATO 259  DEL PERIODO 1 al 31 de MAYO de 2021 -OBJETO G.  HONORARIOS-ART No.424</t>
  </si>
  <si>
    <t>DS AUTORIZACION DE PAGO 05 CONTRATO 259  DEL PERIODO 1 al 30 de JUNIO de 2021 -OBJETO G.  HONORARIOS-ART No.424</t>
  </si>
  <si>
    <t>DS AUTORIZACION DE PAGO 06 CONTRATO 259  DEL PERIODO 1 al 31 de JULIO de 2021 -OBJETO G.  HONORARIOS-ART No.424</t>
  </si>
  <si>
    <t>DS AUTORIZACION DE PAGO 07 CONTRATO 259 DE 2021  PERIODO 01 AL 31 AGOSTO 2021 -OBJETO G  HONORARIOS-ART No 424</t>
  </si>
  <si>
    <t>DS AUTORIZACION DE PAGO 08 CONTRATO 259 DE 2021  PERIODO 01 AL 30 SEPTIEMBRE 2021 -OBJETO G.  HONORARIOS-ART No.424</t>
  </si>
  <si>
    <t>DS AUTORIZACION DE PAGO 09 CONTRATO 259 DE 2021  PERIODO 01 AL 31 Octubre 2021 -OBJETO G.  HONORARIOS-ART No.424</t>
  </si>
  <si>
    <t>DS AUTORIZACION DE PAGO 10 CONTRATO 259 DE 2021  PERIODO 01 AL 30 DE NOVIEMBRE DE 2021 OBJETO G HONORARIOS ART No 424</t>
  </si>
  <si>
    <t>DS AUTORIZACION DE PAGO 11 CONTRATO 259 DE 2021  PERIODO 01 AL 31 Diciembre 2021 -OBJETO G.  HONORARIOS-ART No.424</t>
  </si>
  <si>
    <t>CONTRATO  240/2021 SHARON SASTY STEFAN GONZALEZ ESCORCIA</t>
  </si>
  <si>
    <t>DS AUTORIZACION DE PAGO 01 CONTRATO 240 de 2021  DEL PERIODO DEL 10 AL 28 DE FEBRERO 2021 -OBJETO H.  HONORARIOS-ART No.424</t>
  </si>
  <si>
    <t>DS AUTORIZACION DE PAGO 02 CONTRATO 240 de 2021  DEL PERIODO DEL 1 AL 31 DE MARZO 2021 -OBJETO G.  HONORARIOS-ART No.424</t>
  </si>
  <si>
    <t>DS PAGO 03 DEL CONTRATO 240 DE 2021 - PERIODO DEL 01 AL 31 DE  ABRIL DE 202 - LINEA C - HONORARIOS ART. 424</t>
  </si>
  <si>
    <t>DS AUTORIZACION DE PAGO 04 CONTRATO 240 de 2021  DEL PERIODO DEL 1 AL 31 DE MAYO 2021 -OBJETO G.  HONORARIOS-ART No.424</t>
  </si>
  <si>
    <t>DS AUTORIZACION DE PAGO 05 CONTRATO 240 de 2021  DEL PERIODO DEL 01 AL 30 DE JUNIO  2021 -OBJETO H.  HONORARIOS-ART No.424</t>
  </si>
  <si>
    <t>DS AUTORIZACION DE PAGO 06 CONTRATO 240 de 2021  DEL PERIODO DEL 01 AL 31 DE JULIO  2021 -OBJETO H.  HONORARIOS-ART No.424</t>
  </si>
  <si>
    <t>DS AUTORIZACION DE PAGO 07 CONTRATO 240 de 2021  DEL PERIODO DEL 01 AL 31 DE AGOSTO  2021 -OBJETO H.  HONORARIOS-ART No.424</t>
  </si>
  <si>
    <t>DS AUTORIZACION DE PAGO 01 DE DESPLAZAMIENTOS A CALDAS - MANIZALES DE  CONTRATO 240 de 2021  DEL PERIODO DEL 02 AL 04 DE AGOSTO 2021 -OBJETO G.  HONORARIOS-ART No.424</t>
  </si>
  <si>
    <t>DS AUTORIZACION DE PAGO 08 CONTRATO 240 de 2021  DEL PERIODO DEL 01 AL 30 DE SEPTIEMBRE  2021 -OBJETO H.  HONORARIOS-ART No.424</t>
  </si>
  <si>
    <t>DS Desplazamiento de Invalidez de Caldas en cumplimiento de las obligaciones establecidas en el contrato No 240 de 2021 periodo comprendido entre el catorce (14) de septiembre de 2021 y el diecisiete (17) se septiembre de 2021</t>
  </si>
  <si>
    <t>DS AUTORIZACION DE PAGO 09 CONTRATO 240 de 2021  DEL PERIODO DEL 01 AL 31 DE OCTUBRE   2021 -OBJETO H.  HONORARIOS-ART No.424</t>
  </si>
  <si>
    <t>DS AUTORIZACION DE PAGO 10 DELCONTRATO 240 de 2021 PERIODO DE 1 A30 DE NOVIEMBRE LINEA G HONORARIOSART 424</t>
  </si>
  <si>
    <t>DS AUTORIZACION DE PAGO 11 CONTRATO 240 de 2021  DEL PERIODO DEL 01 AL 31 DE DICIEMBRE 2021 OBJETO H HONORARIOS ART No 424</t>
  </si>
  <si>
    <t>DS AUTORIZACION DE PAGO 3 CONTRATO 240 de 2021  DEL PERIODO DEL 01 AL 30 de noviembre de 2021 OBJETO H  HONORARIOS ART No 424</t>
  </si>
  <si>
    <t>CONTRATO  286/2021 VICTOR GABRIEL MUÑOZ SANCLEMENTE</t>
  </si>
  <si>
    <t>DS PAGO 1 DE HONORARIOS DEL  CONTRATO 286 DE 2021 - PERIODO 16 AL 28 DE FEBRERO  DEL 2021 - OBJETO E HONORARIOS ART.424</t>
  </si>
  <si>
    <t>DS AUTORIZACION PAGO 2 DE HONORARIOS DEL  CONTRATO 286 DE 2021 - PERIODO 1 AL 31 DE MARZO  DEL 2021 - OBJETO E HONORARIOS ART.424</t>
  </si>
  <si>
    <t>DS AUTORIZACION PAGO 3 DE HONORARIOS DEL  CONTRATO 286 DE 2021 - PERIODO 1 AL 30 DE ABRIL  DEL 2021 - OBJETO E HONORARIOS ART.424</t>
  </si>
  <si>
    <t>DS AUTORIZACION PAGO 4 DE HONORARIOS DEL  CONTRATO 286 DE 2021 - PERIODO 1 AL 31 DE MAYO  DEL 2021 - OBJETO E HONORARIOS ART.424</t>
  </si>
  <si>
    <t>DS AUTORIZACION PAGO 5 DE HONORARIOS DEL  CONTRATO 286 DE 2021 - PERIODO 1 AL 30 DE JUNIO  DEL 2021 - OBJETO E HONORARIOS ART.424</t>
  </si>
  <si>
    <t>DS AUTORIZACION PAGO 6 DE HONORARIOS DEL  CONTRATO 286 DE 2021 - PERIODO 1 AL 31 DE JULIO  DEL 2021 - OBJETO E HONORARIOS ART.424</t>
  </si>
  <si>
    <t>DS AUTORIZACION PAGO 7 DE HONORARIOS DEL  CONTRATO 286 DE 2021 - PERIODO 1 AL 31 DE AGOSTO  DEL 2021 - OBJETO E HONORARIOS ART.424</t>
  </si>
  <si>
    <t>DS AUTORIZACION PAGO 8 DE HONORARIOS DEL  CONTRATO 286 DE 2021 - PERIODO 1 AL 30 DE SEPTIEMBRE DEL 2021 - OBJETO E HONORARIOS ART.424</t>
  </si>
  <si>
    <t>PAGO 9 OBJETO E contrato No. 286 de 2021 del período comprendido entre el 01 y el 31 de octubre de 2021 ART 424</t>
  </si>
  <si>
    <t>DS PAGO 10 DE HONORARIOS DEL  CONTRATO 286 DE 2021 - PERIODO 1 AL 30 DE NOVIEMBRE DEL 2021 - OBJETO E HONORARIOS ART.424</t>
  </si>
  <si>
    <t>CONTRATO  250/2021 VIVIANA MARCELA PEDRAZA SERRANO</t>
  </si>
  <si>
    <t>DS PAGO 1 CONTRATO 250 DEL PERIODO 10 AL 28 DE FEBRERO 2021 -OBJETO G.  HONORARIOS-ART No.424</t>
  </si>
  <si>
    <t>DS AUTORIZACION DE PAGO 02 CONTRATO 250  de 2021  DEL PERIODO DEL 1 AL 31 DE MARZO 2021 -OBJETO G.  HONORARIOS-ART No.424</t>
  </si>
  <si>
    <t>DS PAGO 3 CONTRATO 250 DEL PERIODO 01 AL 30 DE ABRIL 2021 -OBJETO G.  HONORARIOS-ART No.424</t>
  </si>
  <si>
    <t>DS PAGO 04 CONTRATO 250 DEL PERIODO DE 01 AL 31 DE MAYO 2021 -OBJETO G.  HONORARIOS-ART No.424</t>
  </si>
  <si>
    <t>DS AUTORIZACION DE PAGO 05 CONTRATO 250  de 2021  DEL PERIODO DEL 1 AL 30 DE JUNIO 2021 -OBJETO G.  HONORARIOS-ART No.424</t>
  </si>
  <si>
    <t>DS AUTORIZACION DE PAGO 06 CONTRATO 250  de 2021  DEL PERIODO DEL 1 AL 31 DE JULIO 2021 -OBJETO G.  HONORARIOS-ART No.424</t>
  </si>
  <si>
    <t>DS AUTORIZACION DE PAGO 07 CONTRATO 250  de 2021  DEL PERIODO DEL 1 AL 31 DE AGOSTO 2021 -OBJETO G.  HONORARIOS-ART No.424</t>
  </si>
  <si>
    <t>DS PAGO 08 CONTRATO 250 DEL PERIODO SEPTIEMBRE 2020 -OBJETO G.  HONORARIOS-ART No.424</t>
  </si>
  <si>
    <t>DS PAGO 9 CONTRATO 250 DE 2021 DEL PERIODO 1 A 31 DE OCTUBRE 2021 -OBJETO G HONORARIOS-ART No 424</t>
  </si>
  <si>
    <t>DS PAGO 10 CONTRATO 250 DE 2021 DEL PERIODO 1 A 30 DE NOVIEMBRE 2021 OBJETO G HONORARIOS ART No 424</t>
  </si>
  <si>
    <t>DS PAGO 11 OBJETO G CONTRATO 250 DE 2021 PERIODO DE 1 A 31 DE DICIEMBRE DE 2021 ART 424</t>
  </si>
  <si>
    <t>CONTRATO  116/2021 YENNY ISABEL PRIETO ROJAS</t>
  </si>
  <si>
    <t>DS AUTORIZACION DE PAGO 01 CONTRATO 116 de 2021  DEL PERIODO DEL 27 AL 31 DE ENERO 2021 -OBJETO H.  HONORARIOS-ART No.424</t>
  </si>
  <si>
    <t>DS AUTORIZACION DE PAGO 02 CONTRATO 116 de 2021  DEL PERIODO DEL 1 AL 28 DE FEBRERO 2021 -OBJETO H.  HONORARIOS-ART No.424</t>
  </si>
  <si>
    <t>DS AUTORIZACION DE PAGO 03 CONTRATO 116 de 2021  DEL PERIODO DEL 1 AL 31 DE MARZO 2021 -OBJETO C.  HONORARIOS-ART No.424</t>
  </si>
  <si>
    <t>DS AUTORIZACION DE PAGO 04 CONTRATO 116 de 2021  DEL PERIODO DEL 1 AL 30 DE ABRIL 2021 -OBJETO C.  HONORARIOS-ART No.424</t>
  </si>
  <si>
    <t>DS AUTORIZACION DE PAGO 05 CONTRATO 116 de 2021  DEL PERIODO DEL 1 AL 31 DE MAYO 2021 -OBJETO C.  HONORARIOS-ART No.424</t>
  </si>
  <si>
    <t>DS AUTORIZACION DE PAGO 06 CONTRATO 116 de 2021  DEL PERIODO DEL 1 AL 30 DE JUNIO 2021 -OBJETO C.  HONORARIOS-ART No.424</t>
  </si>
  <si>
    <t>DS AUTORIZACION DE PAGO 07 CONTRATO 116 de 2021  DEL PERIODO DEL 1 AL 31 DE JULIO 2021 -OBJETO C.  HONORARIOS-ART No.424</t>
  </si>
  <si>
    <t>DS PAGO 08 DEL CONTRATO 116  DE 2021 - PERIODO  AGOSTO 2021 LINEA C-HONORARIOS ART. 424</t>
  </si>
  <si>
    <t>DS AUTORIZACION DE PAGO 09 DEL CONTRATO 116  DE 2021 - PERIODO DEL 1 AL 30 DE SEPTIEMBRE DE 2021 OBJETO C-HONORARIOS ART. 424</t>
  </si>
  <si>
    <t>DS AUTORIZACION DE PAGO 10 DEL CONTRATO 116  DE 2021 - PERIODO DEL 1 AL 31 DE OCTUBRE  DE 2021 OBJETO C-HONORARIOS ART. 424</t>
  </si>
  <si>
    <t>DS PAGO NUMERO 11 contrato No 116 de enero 2021, conforme a la cláusula N 4 forma de pago, DEL 1 al 30 noviembre del 2021 OBJETO C ART 424.</t>
  </si>
  <si>
    <t>DS PAGO NUMERO 12 contrato No 116 de 2021 conforme a la cláusula N 4 forma de pago DEL 1 al 26 diciembre del 2021 OBJETO C ART 424</t>
  </si>
  <si>
    <t>CONTRATO  253/2021 YERY KATHERINE ESGUERRA CARDENAS</t>
  </si>
  <si>
    <t>DS AUTORIZACION DE PAGO 01 CONTRATO 253 de 2021  DEL PERIODO DEL 10 AL 28 DE FEBRERO 2021 -OBJETO A.  HONORARIOS-ART No.424</t>
  </si>
  <si>
    <t>DS AUTORIZACION DE PAGO 02 CONTRATO 253 de 2021  DEL PERIODO DEL 01 AL 31 DE MARZO 2021 -OBJETO A.  HONORARIOS-ART No.424</t>
  </si>
  <si>
    <t>DS AUTORIZACION DE PAGO 03 CONTRATO 253 de 2021  DEL PERIODO DEL 01 AL 30 DE ABRIL 2021 -OBJETO A.  HONORARIOS-ART No.424</t>
  </si>
  <si>
    <t>DS AUTORIZACION DE PAGO 04 CONTRATO 253 de 2021  DEL PERIODO DEL 01 AL 31 DE MAYO 2021 -OBJETO A.  HONORARIOS-ART No.424</t>
  </si>
  <si>
    <t>DS AUTORIZACION DE PAGO 05 CONTRATO 253 de 2021  DEL PERIODO DEL 01 AL 30 DE JUNIO 2021 -OBJETO A.  HONORARIOS-ART No.424</t>
  </si>
  <si>
    <t>DS AUTORIZACION DE PAGO 06 CONTRATO 253 de 2021  DEL PERIODO DEL 01 AL 31 DE JULIO 2021 -OBJETO A.  HONORARIOS-ART No.424</t>
  </si>
  <si>
    <t>DS AUTORIZACION DE PAGO 07 CONTRATO 253 de 2021  DEL PERIODO DEL 01 AL 31 DE AGOSTO 2021 -OBJETO A.  HONORARIOS-ART No.424</t>
  </si>
  <si>
    <t>DS AUTORIZACION DE PAGO 08 CONTRATO 253 de 2021  DEL PERIODO DEL 01 AL 30 DE SEPTIEMBRE 2021 -OBJETO A.  HONORARIOS-ART No.424</t>
  </si>
  <si>
    <t>DS AUTORIZACION DE PAGO 9 CONTRATO 253 de 2021  DEL PERIODO DEL 1 AL 31 DE OCTUBRE 2021 -OBJETO A.  HONORARIOS-ART No.424</t>
  </si>
  <si>
    <t>DS AUTORIZACION DE PAGO 10 CONTRATO 253 de 2021  DEL PERIODO DEL 1 AL 30 DE NOVIEMBRE 2021 OBJETO A  HONORARIOS-ART No 424</t>
  </si>
  <si>
    <t>DS AUTORIZACION DE PAGO 11 CONTRATO 253 de 2021 DEL PERIODO DEL 1 AL 31 DE DICIEMBRE DE 2021 OBJETO A HONORARIOS ART No 424</t>
  </si>
  <si>
    <t>CONTRATO  019/2021 YUDI VIVIANA MINA CHARA</t>
  </si>
  <si>
    <t>DS AUTORIZACION DE PAGO 01 CONTRATO 019 de 2021  DEL PERIODO DEL 13 AL 31 DE ENERO 2021 -OBJETO H.  HONORARIOS-ART No.424</t>
  </si>
  <si>
    <t>DS AUTORIZACION DE PAGO 02 CONTRATO 019 de 2021  DEL PERIODO DEL 1 AL 28 DE FEBRERO 2021 -OBJETO H.  HONORARIOS-ART No.424</t>
  </si>
  <si>
    <t>DS AUTORIZACION DE PAGO 03 CONTRATO 019 de 2021  DEL PERIODO DEL 1 AL 31 DE MARZO 2021 -OBJETO H.  HONORARIOS-ART No.424</t>
  </si>
  <si>
    <t>DS AUTORIZACION DE PAGO 04 CONTRATO 019 de 2021  DEL PERIODO DEL 1 AL 30 DE ABRIL 2021 -OBJETO H.  HONORARIOS-ART No.424</t>
  </si>
  <si>
    <t>DS AUTORIZACION DE PAGO 05 CONTRATO 019 de 2021  DEL PERIODO DEL 1 AL 30 DE MAYO 2021 -OBJETO H.  HONORARIOS-ART No.424</t>
  </si>
  <si>
    <t>DS AUTORIZACION DE PAGO 06 CONTRATO 019 de 2021  DEL PERIODO DEL 1 AL 30 DE JUNIO 2021 -OBJETO H.  HONORARIOS-ART No.424</t>
  </si>
  <si>
    <t>DS AUTORIZACION DE PAGO 07 CONTRATO 019 de 2021  DEL PERIODO DEL 1 AL 31 DE JULIO 2021 -OBJETO H.  HONORARIOS-ART No.424</t>
  </si>
  <si>
    <t>DS AUTORIZACION DE PAGO 08 CONTRATO 019 de 2021  DEL PERIODO DEL 1 AL 31 DE AGOSTO 2021 -OBJETO H.  HONORARIOS-ART No.424</t>
  </si>
  <si>
    <t>DS AUTORIZACION DE PAGO 09 CONTRATO 019 de 2021  DEL PERIODO DEL 1 AL 30 DE SEPTIEMBRE 2021 -OBJETO H.  HONORARIOS-ART No.424</t>
  </si>
  <si>
    <t>DS PAGO 10 CONTRATO 019   DE 2021- PERIODO DE 1 A 31 DE OCTUBRE  DEL 2021 - OBJETO H HONORARIOS ART 424</t>
  </si>
  <si>
    <t>DS AUTORIZACION DE PAGO 11 CONTRATO 019  DE 2021 PERIODO DE 1 A 30 DE NOVIEMBRE DEL 2021 OBJETO H HONORARIOS ART 424</t>
  </si>
  <si>
    <t>DS PAGO 12 CONTRATO 019   DE 2021- PERIODO DE 1 A 31 DE DICIEMBRE  DEL 2021 - OBJETO H HONORARIOS ART.424</t>
  </si>
  <si>
    <t xml:space="preserve">CONTRATO  244/2021 CAMILO ALFONSO CHAPARRO </t>
  </si>
  <si>
    <t>DS AUTORIZACION DE PAGO 01 CONTRATO 244 de 2021  DEL PERIODO DEL 10 AL 28 DE FEBRERO 2021 -OBJETO A.  HONORARIOS-ART No.424</t>
  </si>
  <si>
    <t>DS AUTORIZACION DE PAGO 02 CONTRATO 244 de 2021  DEL PERIODO DEL 01 AL 31 DE MARZO 2021 -OBJETO A.  HONORARIOS-ART No.424</t>
  </si>
  <si>
    <t>DS AUTORIZACION DE PAGO 03 CONTRATO 244 de 2021  DEL PERIODO DEL 01 AL 30 DE ABRIL 2021 -OBJETO A.  HONORARIOS-ART No.424</t>
  </si>
  <si>
    <t>DS AUTORIZACION DE PAGO 04 CONTRATO 244 de 2021  DEL PERIODO DEL 01 AL 31 DE MAYO  2021 -OBJETO A.  HONORARIOS-ART No.424</t>
  </si>
  <si>
    <t>DS AUTORIZACION DE PAGO 05 CONTRATO 244 de 2021  DEL PERIODO DEL 01 AL 30 DE JUNIO  2021 -OBJETO A.  HONORARIOS-ART No.424</t>
  </si>
  <si>
    <t>DS AUTORIZACION DE PAGO 06 CONTRATO 244 de 2021  DEL PERIODO DEL 01 AL 31 DE JULIO  2021 -OBJETO A.  HONORARIOS-ART No.424</t>
  </si>
  <si>
    <t>AUTORIZACION DE PAGO 07 CONTRATO 244 de 2021  DEL PERIODO DEL 01 AL 31 DE AGOSTO 2021 -OBJETO A.  HONORARIOS-ART No.424</t>
  </si>
  <si>
    <t>AUTORIZACION DE PAGO 08 CONTRATO 244 de 2021  DEL PERIODO DEL 01 AL 30 DE SEPTIEMBRE 2021 -OBJETO A.  HONORARIOS-ART No.424</t>
  </si>
  <si>
    <t>DS PAGO No. 9. CONTRATO 244 DE 2021. PERIODO DEL 1 AL 31 DE OCTUBRE DE 2021 ART 424</t>
  </si>
  <si>
    <t>DS PAGO No. 10. CONTRATO 244 DE 2021. PERIODO DEL 1 AL 30 DE NOVIEMBRE DE 2021 ART 424</t>
  </si>
  <si>
    <t>CONTRATO  336/2021 WILL ROBINSON LOPERA CARDONA</t>
  </si>
  <si>
    <t>DS AUTORIZACION DE PAGO 01 CONTRATO 336  de 2021  DEL PERIODO DEL 26 AL 28 DE FEBRERO 2021 -OBJETO G.  HONORARIOS-ART No.424</t>
  </si>
  <si>
    <t>DS AUTORIZACION DE PAGO 02 CONTRATO 336  de 2021  DEL PERIODO DEL 01 AL 31 DE MARZO 2021 -OBJETO G.  HONORARIOS-ART No.424</t>
  </si>
  <si>
    <t>DS AUTORIZACION DE PAGO 03 CONTRATO 336  de 2021  DEL PERIODO DEL 01 AL 30 DE ABRIL 2021 -OBJETO G.  HONORARIOS-ART No.424</t>
  </si>
  <si>
    <t>DS AUTORIZACION DE PAGO 04 CONTRATO 336  de 2021  DEL PERIODO DEL 01 AL 31 DE MAYO  2021 -OBJETO G.  HONORARIOS-ART No.424</t>
  </si>
  <si>
    <t>DS AUTORIZACION DE PAGO 05 CONTRATO 336  de 2021  DEL PERIODO DEL 01 AL 30 DE JUNIO 2021 -OBJETO G.  HONORARIOS-ART No.424</t>
  </si>
  <si>
    <t>DS AUTORIZACION DE PAGO 06 CONTRATO 336  de 2021  DEL PERIODO DEL 01 AL 31 DE JULIO 2021 -OBJETO G.  HONORARIOS-ART No.424</t>
  </si>
  <si>
    <t>DS AUTORIZACION DE PAGO 07 CONTRATO 336  de 2021  DEL PERIODO DEL 01 AL 31 DE AGOSTO 2021 -OBJETO G.  HONORARIOS-ART No.424</t>
  </si>
  <si>
    <t>DS AUTORIZACION DE PAGO 08 CONTRATO 336  de 2021  DEL PERIODO DEL 01 AL 30 DE SEPTIEMBRE 2021 -OBJETO G.  HONORARIOS-ART No.424</t>
  </si>
  <si>
    <t>DS AUTORIZACION DE PAGO 09 CONTRATO 336  de 2021  DEL PERIODO DEL 01 AL 31 DE OCTUBRE 2021 -OBJETO G.  HONORARIOS-ART No.424</t>
  </si>
  <si>
    <t>DS PAGO NUMERO 10 OBJETO G Prestación de servicios Contrato 336-2021 Mes de1 a 30 de Noviembre 2021 ART 424</t>
  </si>
  <si>
    <t>PAGO NUMERO 11 OBJETO G Prestación de servicios Contrato 336-2021 Mes de1 a 31 de Diciembre 2021 ART 424</t>
  </si>
  <si>
    <t>CONTRATO  383/2021 SANDRA JOHANNA NAVIA GOMEZ</t>
  </si>
  <si>
    <t>DS AUTORIZACION DE  PAGO 1 DEL CONTRATO 383 DE 2021 - PERIODO DEL 25 AL 31 DE MARZO 2021 OBJETO A. HONORARIOS-ART.424</t>
  </si>
  <si>
    <t>DS AUTORIZACION DE  PAGO 2  DEL CONTRATO 383 DE 2021 - PERIODO DEL 1 AL 30 DE ABRIL 2021 OBJETO A. HONORARIOS-ART.424</t>
  </si>
  <si>
    <t>DS AUTORIZACION DE  PAGO 3 DEL CONTRATO 383 DE 2021 - PERIODO DEL 1 AL 31 DE MAYO  2021 OBJETO A. HONORARIOS-ART.424</t>
  </si>
  <si>
    <t>DS AUTORIZACION DE  PAGO 4  DEL CONTRATO 383 DE 2021 - PERIODO DEL 1 AL 30 DE JUNIO 2021 OBJETO A. HONORARIOS-ART.424</t>
  </si>
  <si>
    <t>DS AUTORIZACION DE  PAGO 5  DEL CONTRATO 383 DE 2021 - PERIODO DEL 1 AL 31 DE JULIO 2021 OBJETO A. HONORARIOS-ART.424</t>
  </si>
  <si>
    <t>DS PAGO 06 DEL CONTRATO 383 DE 2021 - PERIODO DE AGOSTO DE 2021 OBJETO C .- HONORARIOS-ART.424</t>
  </si>
  <si>
    <t>DS PAGO 07 DEL CONTRATO 383 DE 2021 - PERIODO DEL 1 AL 30 DE SEPTIEMBRE DE 2021 OBJETO A.- HONORARIOS-ART.424</t>
  </si>
  <si>
    <t>DS AUTORIZACION DE  PAGO 8 DEL CONTRATO 383 DE 2021 - PERIODO DE 1 A 31 DE OCTUBRE OBJETO A - HONORARIOS-ART.424</t>
  </si>
  <si>
    <t>DS AUTORIZACION DE  PAGO 9 DEL CONTRATO 383 DE 2021  PERIODO DE 1 A 30 DE NOVIEMBRE OBJETO A HONORARIOS ART 424</t>
  </si>
  <si>
    <t>DS PAGO 10 DEL CONTRATO 383 DE 2021 - PERIODO DE 1 A 31 DE DICIEMBRE OBJETO A - HONORARIOS-ART.424</t>
  </si>
  <si>
    <t>CONTRATO  303/2021 KAREN MELISSA REYES MARIN</t>
  </si>
  <si>
    <t>DS AUTORIZACION DE PAGO 1 CONTRATO 303  DEL PERIODO DEL 18 AL 28 DE FEBRERO DE  2021 -OBJETO A.  HONORARIOS-ART No.424</t>
  </si>
  <si>
    <t>DS AUTORIZACION DE PAGO 2 CONTRATO 303  DEL PERIODO DEL 01 AL 31 DE MARZO DE  2021 -OBJETO A.  HONORARIOS-ART No.424</t>
  </si>
  <si>
    <t>DS AUTORIZACION DE PAGO 3 CONTRATO 303  DEL PERIODO DEL 01 AL 30 DE ABRIL DE  2021 -OBJETO A.  HONORARIOS-ART No.424</t>
  </si>
  <si>
    <t>DS AUTORIZACION DE PAGO 4 CONTRATO 303  DEL PERIODO DEL 01 AL 31 DE MAYO DE  2021 -OBJETO A.  HONORARIOS-ART No.424</t>
  </si>
  <si>
    <t>DS AUTORIZACION DE PAGO 5 CONTRATO 303  DEL PERIODO DEL 01 AL 30 DE JUNIO DE  2021 -OBJETO A.  HONORARIOS-ART No.424</t>
  </si>
  <si>
    <t>DS AUTORIZACION DE PAGO 6 CONTRATO 303  DEL PERIODO DEL 01 AL 31 DE JULIO DE  2021 -OBJETO A.  HONORARIOS-ART No.424</t>
  </si>
  <si>
    <t>DS AUTORIZACION DE PAGO 7 CONTRATO 303  DEL PERIODO DEL 01 AL 31 DE AGOSTO  DE  2021 -OBJETO A. HONORARIOS-ART No.424</t>
  </si>
  <si>
    <t>DS AUTORIZACION DE PAGO 8 CONTRATO 303  DEL PERIODO DEL 01 AL 30 DE SEPTIEMBRE  DE  2021 -OBJETO A. HONORARIOS-ART No.424</t>
  </si>
  <si>
    <t>DS PAGO NUMERO 9 Prestación de servicios profesionales por el contrato No. 303 de 2021, conforme a la cláusula No. 5, del  01 y el 31 de octubre de 2021 OBJETO A ART 424.</t>
  </si>
  <si>
    <t>9425812508/9427327620</t>
  </si>
  <si>
    <t>DS PAGO 10 OBJETO A Prestación de servicios profesionales por el contrato No. 303 de 2021 conforme a la cláusula No. 5 del período comprendido entre el 01 y el 30 de noviembre de 2021</t>
  </si>
  <si>
    <t>DS PAGO 11 OBJETO A Prestación de servicios profesionales por el contrato No. 303 de 2021 conforme a la cláusula No. 5 del período comprendido entre el 01 y el 31 de diciembre de 2021</t>
  </si>
  <si>
    <t xml:space="preserve">CONTRATO  232/2021 MARIA CLAUDIA ESPAÑA </t>
  </si>
  <si>
    <t>DS AUTORIZACION DE PAGO 01 CONTRATO 232 de 2021  DEL PERIODO DEL 09 AL 28 DE FEBRERO 2021 -OBJETO A.  HONORARIOS-ART No.424</t>
  </si>
  <si>
    <t>DS AUTORIZACION DE PAGO 02 CONTRATO 232 de 2021  DEL PERIODO DEL 01 AL 31 DE MARZO 2021 -OBJETO A.  HONORARIOS-ART No.424</t>
  </si>
  <si>
    <t>DS AUTORIZACION DE PAGO 03 CONTRATO 232 de 2021  DEL PERIODO DEL 01 AL 30 DE ABRIL 2021 -OBJETO A.  HONORARIOS-ART No.424</t>
  </si>
  <si>
    <t>DS AUTORIZACION DE PAGO 04 CONTRATO 232 de 2021  DEL PERIODO DEL 01 AL 31 DE MAYO 2021 -OBJETO A.  HONORARIOS-ART No.424</t>
  </si>
  <si>
    <t>DS AUTORIZACION DE PAGO 05 CONTRATO 232 de 2021  DEL PERIODO DEL 01 AL 30 DE JUNIO 2021 -OBJETO A.  HONORARIOS-ART No.424</t>
  </si>
  <si>
    <t>DS AUTORIZACION DE PAGO 06 CONTRATO 232 de 2021  DEL PERIODO DEL 01 AL 31 DE JULIO 2021 -OBJETO A.  HONORARIOS-ART No.424</t>
  </si>
  <si>
    <t>DS AUTORIZACION DE PAGO 07 CONTRATO 232 de 2021  DEL PERIODO DEL 01 AL 31 DE AGOSTO 2021 -OBJETO A.  HONORARIOS-ART No.424</t>
  </si>
  <si>
    <t>DS AUTORIZACION DE PAGO 08 CONTRATO 232 de 2021  DEL PERIODO DEL 01 AL 30 DE Septiembre 2021 -OBJETO A.  HONORARIOS-ART No.424</t>
  </si>
  <si>
    <t>DS  PAGO 09 CONTRATO 232 de 2021  DEL PERIODO DEL 01 AL 31 de octubre 2021 -OBJETO A.  HONORARIOS-ART No.424</t>
  </si>
  <si>
    <t>DS  PAGO 10 CONTRATO 232 de 2021  DEL PERIODO DEL 01 AL 30 de noviembre 2021 -OBJETO A.  HONORARIOS-ART No.424</t>
  </si>
  <si>
    <t>DS  PAGO 11 CONTRATO 232 de 2021  DEL PERIODO DEL 01 AL 31 de diciembre 2021 -OBJETO A.  HONORARIOS-ART No.424</t>
  </si>
  <si>
    <t>CONTRATO  369/2021 MARTHA LILIANA SALGADO BEJARANO</t>
  </si>
  <si>
    <t>DS AUTORIZACION DE PAGO 01 CONTRATO 369 de 2021  DEL PERIODO DEL 19 AL 31 DE MARZO  2021 -OBJETO G.  HONORARIOS-ART No.424</t>
  </si>
  <si>
    <t>DS AUTORIZACION DE PAGO 02 CONTRATO 369 de 2021  DEL PERIODO DEL 1 AL 30 DE ABRIL  2021 -OBJETO C.  HONORARIOS-ART No.424</t>
  </si>
  <si>
    <t>DS AUTORIZACION DE PAGO 03 CONTRATO 369 de 2021  DEL PERIODO DEL 1 AL 31 DE MAYO  2021 -OBJETO C.  HONORARIOS-ART No.424</t>
  </si>
  <si>
    <t>DS PAGO NUMERO 4 contrato No. 369 de 2021, conforme a la cláusula No. 9, del período comprendido entre el 1 y el 30 de Junio 2021. OBJETO C ARTICULO 424</t>
  </si>
  <si>
    <t>DS PAGO NUMERO 5 DEL contrato No. 369 de 2021, conforme a la cláusula No. 9, del período comprendido entre el 1 y el 31 de Julio 2021 OBJETO C ARTICULO 424</t>
  </si>
  <si>
    <t>DS AUTORIZACION DE PAGO 6 CONTRATO 369 de 2021  DEL PERIODO DEL 1 AL 31 DE AGOSTO  OBJETO C  HONORARIOS-ART No 424</t>
  </si>
  <si>
    <t>DS PAGO 7 DEL contrato No. 369 de 2021, del períodocomprendido entre el 1 y el 31 de SEPTIEMBRE 2021 OBJETO CARTICULO 424</t>
  </si>
  <si>
    <t>DS PAGO NUMERO 9 contrato No 369 de 2021 conforme a la cláusula No 9 del período comprendido entre el 1 al  30 de noviembre 2021 OBJETO C ARTICULO 424</t>
  </si>
  <si>
    <t>DS PAGO NUMERO 8 contrato No. 369 de 2021, conforme a la cláusula No. 9, del período comprendido entre el 1 y el 31 de octubre2021. OBJETO C ARTICULO 424</t>
  </si>
  <si>
    <t xml:space="preserve">CONTRATO  401/2021 MELISSA TATIANA ADARME BALVUENA </t>
  </si>
  <si>
    <t>DS AUTORIZACION DE PAGO 01 CONTRATO 401 de 2021 DEL PERIODO 07 al 30 de ABRIL de 2021 -OBJETO G.  HONORARIOS-ART No.424</t>
  </si>
  <si>
    <t>DS AUTORIZACION DE PAGO 02 CONTRATO 401  DE 2021 PERIODO DEL 01 AL 31 DE MAYO 2021 -OBJETO G.  HONORARIOS-ART No.424</t>
  </si>
  <si>
    <t>DS AUTORIZACION DE PAGO 03 CONTRATO 401 de 2021 DEL PERIODO 01 al 30 de JUNIO de 2021 -OBJETO G.  HONORARIOS-ART No.424</t>
  </si>
  <si>
    <t>DS AUTORIZACION DE PAGO 04 CONTRATO 401 de 2021 DEL PERIODO 01 al 31 de JULIO de 2021 -OBJETO G.  HONORARIOS-ART No.424</t>
  </si>
  <si>
    <t>DS AUTORIZACION DE PAGO 05 CONTRATO 401 de 2021 DEL PERIODO 01 al 31 de AGOSTO de 2021 -OBJETO G.  HONORARIOS-ART No.424</t>
  </si>
  <si>
    <t>DS AUTORIZACION DE PAGO 06 CONTRATO 401 de 2021 DEL PERIODO 01 al 30 de SEPTIEMBRE DE 2021 -OBJETO G.  HONORARIOS-ART No.424</t>
  </si>
  <si>
    <t>DS AUTORIZACION DE PAGO 7 CONTRATO 401  DEL PERIODO1 A 31 DE OCTUBRE  2020 -OBJETO G.  HONORARIOS-ART No.424</t>
  </si>
  <si>
    <t>DS AUTORIZACION DE PAGO 8 CONTRATO 401  DEL PERIODO 1 A 30 DE NOVIEMBRE 2021 -OBJETO G.  HONORARIOS-ART No.424</t>
  </si>
  <si>
    <t>DS PAGO 9 OBJETO G contrato No 401 de 2021 conforme a la cláusula No 9 del período DE 1 A 31 de Diciembre de 2021</t>
  </si>
  <si>
    <t xml:space="preserve">CONTRATO  395/2021 JUAN CARLOS CAICEDO </t>
  </si>
  <si>
    <t>DS AUTORIZACION DE  PAGO 1  DEL CONTRATO 395 DE 2021 - PERIODO DEL 29 AL 31 DE MARZO 2021 OBJETO C. HONORARIOS-ART.424</t>
  </si>
  <si>
    <t>DS AUTORIZACION DE  PAGO 2  DEL CONTRATO 395 DE 2021 - PERIODO DEL 1 AL 30 DE ABRIL 2021 OBJETO C. HONORARIOS-ART.424</t>
  </si>
  <si>
    <t>DS AUTORIZACION DE  PAGO 3  DEL CONTRATO 395 DE 2021 - PERIODO DEL 1 AL 31 DE MAYO 2021 OBJETO C. HONORARIOS-ART.424</t>
  </si>
  <si>
    <t>DS AUTORIZACION DE  PAGO 4  DEL CONTRATO 395 DE 2021 - PERIODO DEL 1 AL 30 DE JUNIO 2021 OBJETO C. HONORARIOS-ART.424</t>
  </si>
  <si>
    <t>DS AUTORIZACION DE  PAGO 5  DEL CONTRATO 395 DE 2021 - PERIODO DEL 1 AL 31 DE JULIO 2021 OBJETO C. HONORARIOS-ART.424</t>
  </si>
  <si>
    <t>DS AUTORIZACION DE PAGO 6 DEL CONTRATO 395 DE 2021 - PERIODO DEL 1 AL 31 DE AGOSTO 2021 OBJETO C. HONORARIOS-ART.424</t>
  </si>
  <si>
    <t>DS AUTORIZACION DE  PAGO 7 DEL CONTRATO 395 DE 2021 - PERIODO DEL 1 A 30 DE SEPTIEMBRE 2021 OBJETO C. HONORARIOS-ART.424</t>
  </si>
  <si>
    <t>DS PAGO 8 OBJETO C Prestación de servicios profesionales por el contrato No 395 de 2021 conforme a la cláusula No 9 del período comprendido entre el 01 y el 31 de octubre de 2021</t>
  </si>
  <si>
    <t>DS PAGO 9 OBJETO C Prestación de servicios profesionales por el contrato No. 395 de 2021, conforme a la cláusula No. 9, del período comprendido entre el 01 y el 30 de noviembre de 2021</t>
  </si>
  <si>
    <t>DS AUTORIZACION DE  PAGO 10 DEL CONTRATO 395 DE 2021 PERIODO DEL 1 A 31 DE DICIEMBRE 2021 OBJETO C HONORARIOS ART 424</t>
  </si>
  <si>
    <t xml:space="preserve">CONTRATO  390/2021 HARBEY MARTINEZ MEDINA </t>
  </si>
  <si>
    <t>DS AUTORIZACION DE PAGO 01 CONTRATO 390 de 2021  DEL PERIODO DEL 05 AL 30 DE ABRIL  2021 -OBJETO G.  HONORARIOS-ART No.424</t>
  </si>
  <si>
    <t>DS AUTORIZACION DE PAGO 02 CONTRATO 390 de 2021  DEL PERIODO DEL 01 AL 31 DE MAYO  2021 -OBJETO G.  HONORARIOS-ART No.424</t>
  </si>
  <si>
    <t>DS AUTORIZACION DE PAGO 03 CONTRATO 390 de 2021  DEL PERIODO DEL 01 AL 30 DE JUNIO  2021 -OBJETO G.  HONORARIOS-ART No.424</t>
  </si>
  <si>
    <t>DS AUTORIZACION DE PAGO 04 CONTRATO 390 de 2021  DEL PERIODO DEL 01 AL 31 JULIO DE JUNIO  2021 -OBJETO G.  HONORARIOS-ART No.424</t>
  </si>
  <si>
    <t>DS AUTORIZACION DE PAGO 05 CONTRATO  390 DE 2021 DEL PERIODO DEL 01- AL 31 AGOSTO 20211 OBJETO G. HONORARIOS ART No. 424</t>
  </si>
  <si>
    <t>DS AUTORIZACION DE PAGO 06 CONTRATO 390 de 2021  DEL PERIODO DEL 01 AL 31 SEPTIEMBRE  2021 -OBJETO G.  HONORARIOS-ART No.424</t>
  </si>
  <si>
    <t>DS AUTORIZACION DE PAGO 07 CONTRATO 390 de 2021  DEL PERIODO DEL 01 AL 31 OCTUBRE DE 2021 -OBJETO G.  HONORARIOS-ART No.424</t>
  </si>
  <si>
    <t>DS PAGO NUMERO 8 contrato No. 390 de 2021, conforme a la cláusula No. 9, del 1 y el 30 de noviembre de 2021 OBJETO G ART 424.</t>
  </si>
  <si>
    <t>DS PAGO NUMERO 9 contrato No. 390 de 2021, del 1 y el 31 de diciembre de 2021 OBJETO G HONORARIOS ART 424</t>
  </si>
  <si>
    <t xml:space="preserve">CONTRATO  378/2021 PAULA TERESA GARCIA MACHADO </t>
  </si>
  <si>
    <t>DS AUTORIZACION DE PAGO 01 CONTRATO 378 de 2021  DEL PERIODO DEL 05 AL 30 DE ABRIL  2021 -OBJETO G.  HONORARIOS-ART No.424</t>
  </si>
  <si>
    <t>DS AUTORIZACION DE PAGO 02 CONTRATO 378 de 2021  DEL PERIODO DEL 01 AL 31 DE MAYO  2021 -OBJETO G.  HONORARIOS-ART No.424</t>
  </si>
  <si>
    <t>DS AUTORIZACION DE PAGO 03 CONTRATO 378 de 2021  DEL PERIODO DEL 01 AL 30 DE JUNIO   2021 -OBJETO G.  HONORARIOS-ART No.424</t>
  </si>
  <si>
    <t>DS AUTORIZACION DE PAGO 04 CONTRATO 378 de 2021  DEL PERIODO DEL 01 AL 31 DE JULIO   2021 -OBJETO G.  HONORARIOS-ART No.424</t>
  </si>
  <si>
    <t>DS AUTORIZACION DE PAGO 05 CONTRATO 378 de 2021  DEL PERIODO DEL 01 AL 31 DE AGOSTO  2021 -OBJETO G.  HONORARIOS-ART No.424</t>
  </si>
  <si>
    <t>DS AUTORIZACION DE PAGO 06 CONTRATO 378 de 2021  DEL PERIODO DEL 01 AL 30 DE SEPTIEMBRE   2021 -OBJETO G.  HONORARIOS-ART No.424</t>
  </si>
  <si>
    <t>DS PAGO 7 OBJETO G Prestación de servicios profesionales por el contrato No 378 de 2021 conforme a la cláusula No. 9 del período comprendido entre el 1 y el 31 de octubre de 2021</t>
  </si>
  <si>
    <t>DS PAGO 8 OBJETO G Prestación de servicios profesionales por el contrato No 378 de 2021 conforme a la cláusula No 9 del período comprendido entre el 1 y el 30 de noviembre de 2021</t>
  </si>
  <si>
    <t>DS PAGO 9 al contrato No 378 de 2021 del período comprendidoentre el 1 y el 31 de Diciembre de 2021 OBJETO GHONORARIOS-ART No.424</t>
  </si>
  <si>
    <t>CONTRATO  403/2021 MIGUEL ALFONSO CALDERON MOLINA</t>
  </si>
  <si>
    <t>DS AUTORIZACION DE PAGO 01 CONTRATO 403 de 2021  DEL PERIODO DEL 08 AL 30 DE ABRIL 2021 -OBJETO H.  HONORARIOS-ART No.424</t>
  </si>
  <si>
    <t>DS AUTORIZACION DE PAGO 02 CONTRATO 403 de 2021  DEL PERIODO DEL 01 AL 31 DE MAYO 2021 -OBJETO H.  HONORARIOS-ART No.424</t>
  </si>
  <si>
    <t>DS AUTORIZACION DE PAGO 03 CONTRATO 403 de 2021  DEL PERIODO DEL 01 AL 30 DE JUNIO 2021 -OBJETO H.  HONORARIOS-ART No.424</t>
  </si>
  <si>
    <t>DS AUTORIZACION DE PAGO 04 CONTRATO 403 de 2021  DEL PERIODO DEL 01 AL 31 DE JULIO 2021 -OBJETO H.  HONORARIOS-ART No.424</t>
  </si>
  <si>
    <t>DS AUTORIZACION DE PAGO 05 CONTRATO 403 de 2021  DEL PERIODO DEL 01 AL 31 DE AGOSTO 2021 -OBJETO H.  HONORARIOS-ART No.424</t>
  </si>
  <si>
    <t>DS AUTORIZACION DE PAGO 06 CONTRATO 403 de 2021  DEL PERIODO DEL 01 AL 30 DE A SEPTIEMBRE 2021 -OBJETO H.  HONORARIOS-ART No.424</t>
  </si>
  <si>
    <t>DS PAGO 7 contrato No. 403 de 2021, conforme a la cláusula No. 9 del período comprendido entre el 01 y el 31 de Octubre de 2021 ART 424</t>
  </si>
  <si>
    <t>DS PAGO 8 OBJETO H Prestación de servicios profesionales por el contrato No 403 de 2021 conforme a la cláusula No 9 del período comprendido entre el 01 y el 30 de Noviembre de 2021</t>
  </si>
  <si>
    <t>DS PAGO 9 contrato No. 403 de 2021,del período comprendido entre el 01 y el 31 de Diciembre de 2021 OBJETO H HONORARIOS ART.424</t>
  </si>
  <si>
    <t xml:space="preserve">CONTRATO  416/2021 LINEA A ORGANIZACIÓN IBEROAMERICANA DE SEGURIDAD SOCIAL </t>
  </si>
  <si>
    <t>PAGO 1 AL CONVENIO 416 DE 2021 - CORRESPONDIENTE AL 20% VALOR AL APORTE DEL FRL DEL CONTRATO - OBJETO A - HONORARIOS ART 141 ANUAR ESFUERZO</t>
  </si>
  <si>
    <t>PAGO 2 AL CONVENIO 416 DE 2021 CORRESPONDIENTE AL 20% VALOR AL APORTE DEL FRL DEL CONTRATO  OBJETO C - HONORARIOS ART 141 ANUAR ESFUERZO</t>
  </si>
  <si>
    <t>DS PAGO 1 OBJETO A primer 50% de la adicion del aporte del frl CONTRATO 416 DE 2021</t>
  </si>
  <si>
    <t xml:space="preserve">CONTRATO  416/2021 LINEA C ORGANIZACIÓN IBEROAMERICANA DE SEGURIDAD SOCIAL </t>
  </si>
  <si>
    <t xml:space="preserve">CONTRATO  446/2021 CARLOS DARIO ARENAS GRANADO </t>
  </si>
  <si>
    <t>DS AUTORIZACION DE PAGO 01 CONTRATO 446 de 2021  DEL PERIODO DEL 18 AL 31 DE MAYO  2021 -OBJETO C.  HONORARIOS-ART No.424</t>
  </si>
  <si>
    <t>DS AUTORIZACION DE PAGO 02 CONTRATO 446 de 2021  DEL PERIODO DEL 01 AL 30 DE JUNIO  2021 -OBJETO C.  HONORARIOS-ART No.424</t>
  </si>
  <si>
    <t>DS AUTORIZACION DE PAGO 03 CONTRATO 446 de 2021  DEL PERIODO DEL 01 AL 31 DE JULIO  2021 -OBJETO C.  HONORARIOS-ART No.424</t>
  </si>
  <si>
    <t>DS AUTORIZACION DE PAGO 04 CONTRATO 446 de 2021  DEL PERIODO DEL 01 AL 31 DE AGOSTO  2021 -OBJETO C.  HONORARIOS-ART No.424</t>
  </si>
  <si>
    <t>DS AUTORIZACION DE PAGO 05 CONTRATO 446 de 2021  DEL PERIODO DEL 01 AL 30 DE SEPTIEMBRE 2021 -OBJETO C.  HONORARIOS-ART No.424</t>
  </si>
  <si>
    <t>DS AUTORIZACION DE PAGO 06 CONTRATO 446 de 2021  DEL PERIODO DEL 01 AL 31 DE OCTUBRE  2021 -OBJETO C.  HONORARIOS-ART No.424</t>
  </si>
  <si>
    <t>DS PAGO 7 OBJETO C contrato No. 446 de 2021 conforme a la cláusula No. 05 del período comprendido entre el 01 de Noviembre de 2021 y el 30 de Noviembre de 2021 ART 424</t>
  </si>
  <si>
    <t>DS AUTORIZACION DE PAGO 08 CONTRATO 446 de 2021  DEL PERIODO DEL 01 AL 31 DE DICIEMBRE  2021 OBJETO C HONORARIOS ART No 424</t>
  </si>
  <si>
    <t>CONTRATO  489/2021 BLANCA CRISTINA VARGAS HERNANDEZ</t>
  </si>
  <si>
    <t>DS AUTORIZACION DE PAGO 01 CONTRATO 489 de 2021  DEL PERIODO DEL 15 AL 30 DE JUNIO 2021 -OBJETO G.  HONORARIOS-ART No.424</t>
  </si>
  <si>
    <t>9421416627 /9421658870</t>
  </si>
  <si>
    <t>DS AUTORIZACION DE PAGO 02 CONTRATO 489 de 2021  DEL PERIODO DEL 1 AL 31 DE JULIO 2021 -OBJETO G.  HONORARIOS-ART No.424</t>
  </si>
  <si>
    <t>DS AUTORIZACION DE PAGO 01 DESPLAZAMIENTOS A LA CUIDAD DE CALI - VALLE DEL CAUCA CONTRATO 489 de 2021  DEL PERIODO DEL 13 AL 16 DE JULIO 2021 -OBJETO G.  ART No.155</t>
  </si>
  <si>
    <t>DS AUTORIZACION DE PAGO 03 CONTRATO 489 de 2021  DEL PERIODO DEL 1 AL 31 DE AGOSTO 2021 -OBJETO G.  HONORARIOS-ART No.424</t>
  </si>
  <si>
    <t>DS AUTORIZACION DE PAGO 02 DESPLAZAMIENTOS A LA CUIDAD DE IBAGUE - TOLIMA CONTRATO 489 de 2021 DEL PERIODO DEL 01 AL 31 DE AGOSTO 2021 -OBJETO G. ART No.424</t>
  </si>
  <si>
    <t>DS AUTORIZACION DE PAGO 04 CONTRATO 489 de 2021  DEL PERIODO DEL 1 AL 30 DE SEPTIEMBRE 2021 -OBJETO G.  HONORARIOS-ART No.424</t>
  </si>
  <si>
    <t>DS AUTORIZACION DE PAGO 3 DESPLAZAMIENTOS A LA CUIDAD DE ARMENIA  QUINDIO  los días 22,23 y 24 de septiembre de 2021 Mediante Resolución No 2491 de 2021 Contrato No 489 DE 2021</t>
  </si>
  <si>
    <t>PAGO 5 contrato No. 489 de 2021, conforme a la cláusula No. 9 OBJETO G del período comprendido entre el 01 al 31 de octubre de 2021 ART 424</t>
  </si>
  <si>
    <t>DS PAGO 6 OBJETO G Prestación de servicios profesionales por el contrato No 489 de 2021 conforme a la cláusula No 9 del período comprendido entre el 01 al 30 de noviembre de 2021</t>
  </si>
  <si>
    <t>DSPAGO 7 contrato No 489 de 2021 conforme a la cláusula No 9 OBJETO G del período comprendido entre el 01 al 31 de diciembre de 2021 ART 424</t>
  </si>
  <si>
    <t>DS AUTORIZACION DE PAGO 4 CONTRATO 489 DE 2021 Legalización gastos de desplazamiento a la ciudad de Villavicencio los días 17 18 y 19 de noviembre de 2021 autorizados mediante Resolución No 3467 de 17 de noviembre de 2021</t>
  </si>
  <si>
    <t xml:space="preserve">CONTRATO  492/2021 WALTER HERNANDEZ MEJIA </t>
  </si>
  <si>
    <t>DS AUTORIZACION DE PAGO 01 CONTRATO 492 de 2021  DEL PERIODO DEL 11 AL 30 DE JUNIO 2021 -OBJETO G.  HONORARIOS-ART No.424</t>
  </si>
  <si>
    <t xml:space="preserve">ADJUNTA CERTIFICADO DE AFILIACION </t>
  </si>
  <si>
    <t>DS AUTORIZACION DE PAGO 02 CONTRATO 492 de 2021  DEL PERIODO DEL 1 AL 31 DE JULIO 2021 -OBJETO G.  HONORARIOS-ART No.424</t>
  </si>
  <si>
    <t>DS AUTORIZACION DE PAGO DE DESPLAZAMIENTO 01 CONTRATO 492 de 2021  DEL PERIODO DEL 27 AL 30 DE JULIO 2021 -OBJETO G.  HONORARIOS-ART No.424</t>
  </si>
  <si>
    <t>DS PAGO 03 CONTRATO 492 de 2021  DEL PERIODO DEL 01 AL 31 DE AGOSTO 2021 -OBJETO G.  HONORARIOS-ART No.424</t>
  </si>
  <si>
    <t>DS AUTORIZACION DE PAGO 04 CONTRATO 492 de 2021  DEL PERIODO DEL 01 AL 30 DE SEPTIEMBRE 2021 -OBJETO G.  HONORARIOS-ART No.424</t>
  </si>
  <si>
    <t>DS PAGO 05 CONTRATO 492 de 2021  DEL PERIODO DEL 01 AL 31 DE OCTUBRE 2021 -OBJETO G.  HONORARIOS-ART No.424</t>
  </si>
  <si>
    <t>DSAUTORIZACION DE PAGO 2 desplazamiento a la ciudad de PASTO (N) los días 6,7 y 8 de octubre de 2021, autorizados mediante resolución No. 2735 de septiembre 29 de 2021, Contrato 492 de 2021 -OBJETO G. HONORARIOS-ART No424</t>
  </si>
  <si>
    <t>DS PAGO 06 CONTRATO 492 de 2021  DEL PERIODO DEL 01 AL 30 DE NOVIEMBRE 2021 -OBJETO G.  HONORARIOS-ART No.424</t>
  </si>
  <si>
    <t>DS AUTORIZACION DE PAGO 3 DESPLAZAMIENTOS A LA CUIDAD DE PEREIRA los días 10,11 y 12 de noviembre de 2021, autorizados mediante resolución No. 3285 de noviembre 04 de 2021,Contrato 492 de 2021</t>
  </si>
  <si>
    <t>DS PAGO 7 OBJETO G contrato No 492 de 2021 del período de 1 a 31 de Diciembre de 2021</t>
  </si>
  <si>
    <t xml:space="preserve">CONTRATO  490 /2021 MARIA ISABEL BUITRAGO CAMARGO </t>
  </si>
  <si>
    <t>DS AUTORIZACION DE PAGO 01 CONTRATO 490 de 2021  DEL PERIODO DEL 08 AL 30 DE JUNIO 2021 -OBJETO G.  HONORARIOS-ART No.424</t>
  </si>
  <si>
    <t>DS AUTORIZACION DE PAGO 02 CONTRATO 490 de 2021 DEL PERIODO DEL 01 AL 31 DE JULIO 2021 -OBJETO G.HONORARIOS-ART No.424</t>
  </si>
  <si>
    <t>DS AUTORIZACION DE PAGO 03 CONTRATO 490 de 2021  DEL PERIODO DEL 01 AL 31 DE AGOSTO 2021 -OBJETO G.  HONORARIOS-ART No.424</t>
  </si>
  <si>
    <t>DS AUTORIZACION DE PAGO 1 DESPLAZAMIENTO A LA CUIDAD DE MANIZALES, CARTAGENA Y TUNJA CONTRATO 490 de 2021  DEL PERIODO DEL 01 AL 31 DE AGOSTO 2021 OBJETO G ART No.424</t>
  </si>
  <si>
    <t>DS AUTORIZACION DE PAGO 04 CONTRATO 490 de 2021  DEL PERIODO DEL 01 AL 30 DE SEPTIEMBRE 2021 -OBJETO G.  HONORARIOS-ART No.424</t>
  </si>
  <si>
    <t>DS AUTORIZACION DE PAGO 2 DESPLAZAMIENTO A LA CUIDAD DE MEDELLIN CONTRATO 490 de 2021 DEL PERIODO DEL 31 DE AGOSTODEL 2021 -OBJETO G. ART No.424 PAGO 1 DE 2</t>
  </si>
  <si>
    <t>DS AUTORIZACION DE PAGO 2 DESPLAZAMIENTO A LA CUIDAD DE MEDELLIN CONTRATO 490 de 2021  DEL PERIODO DEL 01 AL 30 DE SEPTIEMBRE 2021 -OBJETO G. ART No.424 PAGO 2 DE 2</t>
  </si>
  <si>
    <t>DS AUTORIZACION DE PAGO 05 CONTRATO 490 de 2021  DEL PERIODO DEL 01 AL 31 DE OCTUBRE 2021 -OBJETO G.  HONORARIOS-ART No.424</t>
  </si>
  <si>
    <t>DS PAGO 6 OBJETO G Prestación de servicios profesionales por el contrato No. 490 de 2021, conforme a la cláusula No. 9, del período comprendido entre el 1 y al 30 de Noviembre de 2021.</t>
  </si>
  <si>
    <t>DS AUTORIZACION DE PAGO 3 Legalización de los gastos de desplazamiento a la ciudad de Bucaramanga Santander Los dias 29 y 30 de Septiembre Mediante Resolución 2630 de 2021 contrato No 490 de 2021 pago 1 de 2</t>
  </si>
  <si>
    <t>DS AUTORIZACION DE PAGO 3 Legalización de los gastos de desplazamiento a la ciudad de Bucaramanga Santander EL 1 DE OCTUBRE Mediante Resolución 2630 de 2021 contrato No 490 de 2021 pago 2 de 2</t>
  </si>
  <si>
    <t>DS AUTORIZACION DE PAGO 07 CONTRATO 490 de 2021  DEL PERIODO DEL 01 AL 31 DE DICIEMBRE 2021 OBJETO G HONORARIOS ART No 424</t>
  </si>
  <si>
    <t>DS AUTORIZACION DE PAGO 4 DESPLAZAMIENTO A LA CUIDAD DE CUCUTA LOS DIAS 3,4 Y 5 DE NOVIEMBRE CONTRATO 490 de 2021  DEL PERIODO DEL 01 AL 30 DE NOV DE 2021 -OBJETO G ART No 424</t>
  </si>
  <si>
    <t>CONTRATO  465 /2021 FABIO ANDRES BENAVIDES ORTEGA</t>
  </si>
  <si>
    <t>DS AUTORIZACION DE  PAGO 1  DEL CONTRATO 465 DE 2021 - PERIODO DEL 27 AL 31 DE MAYO 2021 OBJETO C. HONORARIOS-ART.424</t>
  </si>
  <si>
    <t>DS AUTORIZACION DE  PAGO 2  DEL CONTRATO 465 DE 2021 - PERIODO DEL 01 AL 30 DE JUNIO  2021 OBJETO C. HONORARIOS-ART.424</t>
  </si>
  <si>
    <t>DS AUTORIZACION DE  PAGO 3  DEL CONTRATO 465 DE 2021 - PERIODO DEL 01 AL 31 DE JULIO  2021 OBJETO C. HONORARIOS-ART.424</t>
  </si>
  <si>
    <t>DS AUTORIZACION DE PAGO 4 DEL CONTRATO465 DE 2021 - PERIODO DEL 01 AL 31 DEAGOSTO 2021 OBJETO C.HONORARIOS-ART.424</t>
  </si>
  <si>
    <t>DS AUTORIZACION DE  PAGO 5  DEL CONTRATO 465 DE 2021 - PERIODO DEL 01 AL 30 DE SEPTIEMBRE  2021 OBJETO C. HONORARIOS-ART.424</t>
  </si>
  <si>
    <t>DS AUTORIZACION DE  PAGO 6  DEL CONTRATO 465 DE 2021 - PERIODO DEL 01 AL 31 DE OCTUBRE   2021 OBJETO C. HONORARIOS-ART.424</t>
  </si>
  <si>
    <t>DS AUTORIZACION DE PAGO 7  DEL CONTRATO 465 DE 2021 PERIODO DEL 01 AL 30 DE NOVIEMBRE DE 2021 OBJETO C HONORARIOS ART 424</t>
  </si>
  <si>
    <t>DS AUTORIZACION DE PAGO 8 DEL CONTRATO 465 DE 2021 PERIODO DEL 01 AL 31 DE DICIEMBRE 2021 OBJETO C HONORARIOS ART 424</t>
  </si>
  <si>
    <t xml:space="preserve">CONTRATO  486 /2021 NESTOR JAVIER ORTIZ ORTIZ </t>
  </si>
  <si>
    <t>DS AUTORIZACION DE PAGO 1 CONTRATO 486 de 2021  DEL PERIODO DEL 1 AL 30 DE JUNIO 2021 -OBJETO G.  HONORARIOS-ART No.425</t>
  </si>
  <si>
    <t>DS AUTORIZACION DE PAGO 2 CONTRATO 486 de 2021  DEL PERIODO DEL 1 AL 31 DE JULIO 2021 -OBJETO G.  HONORARIOS-ART No.425</t>
  </si>
  <si>
    <t>DS AUTORIZACION DE PAGO 1 DESPLAZAMIENTO A LA CUIDAD DE CALI - VALLE DEL CAUCA CONTRATO 486 de 2021  DEL PERIODO DEL 13 AL 16 DE JULIO 2021 -OBJETO G. ART No.155</t>
  </si>
  <si>
    <t>DS AUTORIZACION DE PAGO 3 CONTRATO 486 de 2021  DEL PERIODO DEL 1 AL 31 DE AGOSTO 2021 -OBJETO G.  HONORARIOS-ART No.425</t>
  </si>
  <si>
    <t>DS AUTORIZACION DE PAGO 2 DESPLAZAMIENTO A LA CUIDAD DE MANIZALES, CARTAGENA Y TUNJA CONTRATO 486 de 2021  DEL PERIODO DEL 01 AL 31 DE AGOSTO 2021 OBJETO G. ART No.424</t>
  </si>
  <si>
    <t>DS AUTORIZACION DE PAGO 4 CONTRATO 486 de 2021  DEL PERIODO DEL 1 AL 30 DE SEPTIEMBRE 2021 -OBJETO G.  HONORARIOS-ART No.425</t>
  </si>
  <si>
    <t>DS AUTORIZACION DE PAGO 5 CONTRATO 486 de 2021  DEL PERIODO DEL 1 AL 31 DE OCTUBRE 2021 -OBJETO G.  HONORARIOS-ART No.425</t>
  </si>
  <si>
    <t>DS AUTORIZACION DE PAGO 3 DESPLAZAMIENTO A LA CUIDAD DE MEDELLIN CONTRATO 486 de 2021  DEL PERIODO DEL 31 DE AGOSTO 2021 -OBJETO G. ART No.424 PAGO 1 DE 2</t>
  </si>
  <si>
    <t>DS AUTORIZACION DE PAGO 3 DESPLAZAMIENTO A LA CUIDAD DE MEDELLIN CONTRATO 486 de 2021  DEL PERIODO DEL 01 AL 03 DE SEPTIEMBRE 2021 -OBJETO G. ART No.424 PAGO 2 DE 2</t>
  </si>
  <si>
    <t>DS AUTORIZACION DE PAGO 06 CONTRATO 486 de 2021  DEL PERIODO DEL 1 AL 30 DE NOVIEMBRE 2021 -OBJETO G.  HONORARIOS-ART No.425</t>
  </si>
  <si>
    <t>DS AUTORIZACION DE PAGO 7 CONTRATO 486 de 2021  DEL PERIODO DEL 1 AL 31 DE DICIEMBRE 2021 OBJETO G HONORARIOS ART No 425</t>
  </si>
  <si>
    <t>DS AUTORIZACION DE PAGO 4 CONTRATO 486 de 2021 OBJETO G desplazamientos A BUCARAMANGA los dias 29 y 30 de septiembre de 2021 pago 1 de 4</t>
  </si>
  <si>
    <t>DS AUTORIZACION DE PAGO 4 CONTRATO 486 de 2021  DESPLAZAMIENTOS A BUCARAMANGA EL 1 DE OCTUBRE DE 2021 OBJETO G PAGO 2 DE 4</t>
  </si>
  <si>
    <t>DS AUTORIZACION DE PAGO 4 CONTRATO 486 de 2021  DESPLAZAMIENTOS A LA CIUDAD DE PASTO 6,7 Y 8 DE OCTUBRE OBJETO G PAGO 3 DE 4</t>
  </si>
  <si>
    <t>DS AUTORIZACION DE PAGO 4 CONTRATO 486 de 2021  DESPLAZAMIENTOS A LA CIUDAD DE CUCUTA LOS DIAS 3,4 Y 5 DE NOVIEMBRE OBJETO G PAGO 4 DE 4</t>
  </si>
  <si>
    <t>CONTRATO  480/2021 MARIA MAGDALENA PERLAZA ARREDONDO</t>
  </si>
  <si>
    <t>DS AUTORIZACION DE  PAGO 1  DEL CONTRATO 480 DE 2021 - PERIODO DEL 10 AL 30 DE JUNIO  2021 OBJETO G. HONORARIOS-ART.424</t>
  </si>
  <si>
    <t>DS AUTORIZACION DE  PAGO 2  DEL CONTRATO 480 DE 2021 - PERIODO DEL 1 AL 31 DE JULIO  2021 OBJETO G. HONORARIOS-ART.424</t>
  </si>
  <si>
    <t>DS AUTORIZACION DE  PAGO 3  DEL CONTRATO 480 DE 2021 - PERIODO DEL 1 AL 31 DE AGOSTO  2021 OBJETO G. HONORARIOS-ART.424</t>
  </si>
  <si>
    <t>DS AUTORIZACION DE PAGO DESPLAZAMIENTO 01 CONTRATO 480 de 2021  DEL PERIODO DEL 01 AL 31 DE JULIO  2021 -OBJETO G  HONORARIOS-ART No.424</t>
  </si>
  <si>
    <t>DS AUTORIZACION DE PAGO 4 DEL CONTRATO480 DE 2021 - PERIODO DEL 10 AL 30 DE SEPTIEMBRE 2021 OBJETO G. HONORARIOS-ART.424</t>
  </si>
  <si>
    <t>DS AUTORIZACION DE  PAGO 5  DEL CONTRATO 480 DE 2021 - PERIODO DEL 1 AL 31 DE OCTUBRE  2021 OBJETO G. HONORARIOS-ART.424</t>
  </si>
  <si>
    <t>PAGO 2 CONTRATO 480 DE 2021  gastos de desplazamiento a la Ciudad de Pasto, los días 06,07 y 08 de octubre de 2021  OBJETO G Mediante Resolución 2732 de 2021</t>
  </si>
  <si>
    <t>DS AUTORIZACION DE  PAGO 6  DEL CONTRATO 480 DE 2021 PERIODO DEL 1 AL 30 DE NOVIEMBRE 2021 OBJETO G HONORARIOS ART 424</t>
  </si>
  <si>
    <t>DS AUTORIZACION DE  PAGO 7  DEL CONTRATO 480 DE 2021 PERIODO DEL 1 AL 31 DE DICIEMBRE  2021 OBJETO G HONORARIOS ART 424</t>
  </si>
  <si>
    <t>DS AUTORIZACION DE PAGO NUMERO 3 CONTRATO 480 DE 2021 Legalización de gastos de desplazamiento a la Ciudad de Barranquilla, los días 14,15,16 y17 de septiembre de 2021 Mediante Resolución 2331 de 2021</t>
  </si>
  <si>
    <t>DS AUTORIZACION DE PAGO NUMERO 4 CONTRATO 480 DE 2021 ALA CIUDAD DE PEREIRA LOS DIAS 10,11,12 DE NOVIEMBRE Y A NEIVA LOS DIAS 24,25 Y 26 DE NOVIEMBRE DE 2021 OBJETO G ART 424</t>
  </si>
  <si>
    <t>CONTRATO  484 /2021 ELVIRA DEL PILAR FORERO HERNANDEZ</t>
  </si>
  <si>
    <t>DS AUTORIZACION DE PAGO 01 CONTRATO 484 de 2021  DEL PERIODO DEL 01 AL 30 DE JUNIO  2021 -OBJETO B.  HONORARIOS-ART No.424</t>
  </si>
  <si>
    <t>DS AUTORIZACION DE PAGO 02 CONTRATO 484 de 2021  DEL PERIODO DEL 1 AL 31  DE JULIO  2021 -OBJETO B.  HONORARIOS-ART No.424</t>
  </si>
  <si>
    <t>DS AUTORIZACION DE PAGO DESPLAZAMIENTO 01 CONTRATO 484 de 2021  DEL PERIODO DEL 23 AL 25 DE JULIO  2021 -OBJETO B.  HONORARIOS-ART No.424</t>
  </si>
  <si>
    <t xml:space="preserve"> AUTORIZACION DE PAGO 03 AL CONTRATO 484 de 2021  DEL PERIODO DEL 01 AL 31 DE AGOSTO 2021 -OBJETO B.  HONORARIOS-ART No.424</t>
  </si>
  <si>
    <t>DS AUTORIZACION DE PAGO 04 AL CONTRATO 484 de 2021  DEL PERIODO DEL 01 AL 30 DE SEPTIEMBRE 2021 -OBJETO B.  HONORARIOS-ART No.424</t>
  </si>
  <si>
    <t>DS AUTORIZACION DE PAGO 05 AL CONTRATO 484 de 2021  DEL PERIODO DEL 01 AL 31 DE OCTUBRE 2021 -OBJETO B.  HONORARIOS-ART No.424</t>
  </si>
  <si>
    <t>DS AUTORIZACION DE PAGO  6 AL CONTRATO 484 de 2021  DEL PERIODO DEL 01 AL 30 DE NOVIEMBRE DE 2021 -OBJETO B  HONORARIOS ART No 424</t>
  </si>
  <si>
    <t>DS AUTORIZACION DE PAGO 07 AL CONTRATO 484 de 2021  DEL PERIODO DEL 01 AL 31 DE DICIEMBRE 2021 OBJETO B HONORARIOS ART No 424</t>
  </si>
  <si>
    <t>AUTORIZACION DE PAGO 2 DESPLAZAMIENTO A LA CIUDAD DE CALI DURANTE LOS DIAS 22 23 Y 24 DE JULIO DE 2021 OBJETO B CONTRATO 484 DEL 2021 Y LA RESOLUCION 1629 DE 2021 pago 1 de 4</t>
  </si>
  <si>
    <t>AUTORIZACION DE PAGO 2 DESPLAZAMIENTO A LA CIUDAD DE BARRANQUILLA Y A LA CIUDAD DE CARTAGENA DURANTE LOS DIAS 28,29 Y 30 DE JULIO DE 2021 OBJETO B CONTRATO 484 DEL 2021 Y LA RESOLUCION 1784 DE 2021 pago 2 de 4</t>
  </si>
  <si>
    <t>AUTORIZACION DE PAGO 2 DESPLAZAMIENTO A LA CIUDAD DE BARRANCABERMEJA DURANTE LOS DIAS 7 Y 8 SEPTIEMBRE DE 2021 OBJETO B CONTRATO 484 DEL 2021 Y LA RESOLUCION 2344 DE 2021 PAGO 3 DE 4</t>
  </si>
  <si>
    <t>AUTORIZACION DE PAGO 2 DESPLAZAMIENTO A LA CIUDAD DE CARTAGENA DURANTE LOS DIAS 28 AL 30 DE SEPTIEMBRE DE 2021 OBJETO B CONTRATO 484 DEL 2021 Y LA RESOLUCION 2680 DE PAGO 4 DE 4</t>
  </si>
  <si>
    <t xml:space="preserve">CONTRATO  519 /2021MARIA MARLENY ARBOLEDA URREGO </t>
  </si>
  <si>
    <t>DS AUTORIZACION DE PAGO 01 CONTRATO 519 de 2021  DEL PERIODO DEL 22 AL 31 DE JULIO 2021 -OBJETO A.  HONORARIOS-ART No.424</t>
  </si>
  <si>
    <t>DS AUTORIZACION DE PAGO 02 CONTRATO 519 de 2021  DEL PERIODO DEL 01 AL 31 DE AGOSTO 2021 -OBJETO G.  HONORARIOS-ART No.424</t>
  </si>
  <si>
    <t>DS AUTORIZACION DE PAGO 03 CONTRATO 519 de 2021  DEL PERIODO DEL 01 AL 30 DE SEPTIEMBRE 2021 -OBJETO G.  HONORARIOS-ART No.424</t>
  </si>
  <si>
    <t>DS AUTORIZACION DE PAGO 04 CONTRATO 519 de 2021  DEL PERIODO DEL 01 AL 31 DE Octubre 2021 -OBJETO G.  HONORARIOS-ART No.424</t>
  </si>
  <si>
    <t>DS PAGO NUMERO 5 Prestación de servicios profesionales por el contrato No. 519 de 2021, conforme a la cláusula No. 9, del período entre el 01 y el 30 de noviembre de 2021 OBJETO G ART 424.</t>
  </si>
  <si>
    <t>DS PAGO NUMERO 6  contrato No. 519 de 2021, del período entre el 01 y el 31 de diciembre de 2021 OBJETO G HONORARIOS-ART No.424</t>
  </si>
  <si>
    <t xml:space="preserve">CONTRATO  146 /2021 NICOLAS SERNA ESPITIA </t>
  </si>
  <si>
    <t>DS AUTORIZACION DE PAGO 01 Cesion de CONTRATO 146  DEL 2021 PERIODO 2 al 31 de JULIO de 2021 -OBJETO A.  HONORARIOS-ART No.424</t>
  </si>
  <si>
    <t>DS AUTORIZACION DE PAGO 02 de CONTRATO 146 DEL 2021 PERIODO 01 al 31 de AGOSTO de 2021 -OBJETO A. HONORARIOS-ART No.424</t>
  </si>
  <si>
    <t>DS AUTORIZACION DE PAGO 03 Cesion de CONTRATO 146  DEL 2021 PERIODO 01 al 30 de SEPTIEMBRE de 2021 -OBJETO A.  HONORARIOS-ART No.424</t>
  </si>
  <si>
    <t>DS AUTORIZACION DE PAGO 4 CONTRATO 146 DEL 2021 PERIODO1 a 31 de octubre de 2021 -OBJETO A HONORARIOS-ART No 424</t>
  </si>
  <si>
    <t>DS PAGO 5 OBJETO A Prestación de servicios profesionales por el contrato No.146 de 2021, del período comprendido entre el 1 y el 30 de noviembre de 2021</t>
  </si>
  <si>
    <t>DS AUTORIZACION DE PAGO 6 CONTRATO 146  DEL 2021 PERIODO1 a 31 de diciembre de 2021 -OBJETO A.  HONORARIOS-ART No.424</t>
  </si>
  <si>
    <t xml:space="preserve">CONTRATO  501 /2021 MARGARETH ALEJANDRA LUGO PINZON </t>
  </si>
  <si>
    <t>DS AUTORIZACION DE PAGO 01 CONTRATO 501  de 2021  DEL PERIODO DEL 23 AL 30 DE JUNIO 2021 -OBJETO C.  HONORARIOS-ART No.424</t>
  </si>
  <si>
    <t>DS AUTORIZACION DE PAGO 02 CONTRATO 501  de 2021  DEL PERIODO DEL 1 AL 31 DE JULIO 2021 -OBJETO C.  HONORARIOS-ART No.424</t>
  </si>
  <si>
    <t>DS AUTORIZACION DE PAGO 03 CONTRATO 501  de 2021  DEL PERIODO DEL 1 AL 31 DE AGOSTO 2021 -OBJETO C.  HONORARIOS-ART No.424</t>
  </si>
  <si>
    <t>DS AUTORIZACION DE PAGO 04 CONTRATO 501  de 2021  DEL PERIODO DEL 1 AL 31 DE SEPTIEMBRE 2021 OBJETO C HONORARIOS-ART No424</t>
  </si>
  <si>
    <t>DS AUTORIZACION DE PAGO 05 CONTRATO 501  de 2021  DEL PERIODO DEL 1 AL 31 DE OCTUBRE 2021 -OBJETO C.  HONORARIOS-ART No.424</t>
  </si>
  <si>
    <t>DS AUTORIZACION DE PAGO 6 CONTRATO 501  de 2021  DEL PERIODO DEL 1 AL 30 DE NOVIEMBRE DE 2021 OBJETO C HONORARIOS ART No 424</t>
  </si>
  <si>
    <t>DS AUTORIZACION DE PAGO 07 CONTRATO 501 de 2021 DEL PERIODO DEL 1 AL 31 DE DICIEMBRE 2021 OBJETO C HONORARIOS ART No 424</t>
  </si>
  <si>
    <t>CONTRATO  502 /2021 MARIA DANIELA CASTAÑO DE LA TORRE</t>
  </si>
  <si>
    <t>DS AUTORIZACION DE PAGO 01 CONTRATO 502  DEL 2021 PERIODO 8 al 31 de JULIO de 2021 -OBJETO G.  HONORARIOS-ART No.424</t>
  </si>
  <si>
    <t>DS AUTORIZACION DE PAGO 02 CONTRATO 502  DEL 2021 PERIODO 01 al 31 de AGOSTO de 2021 -OBJETO G.  HONORARIOS-ART No.424</t>
  </si>
  <si>
    <t>DS AUTORIZACION DE PAGO 03 CONTRATO 502  DEL 2021 PERIODO 01 al 30 DE SEPTIEMBRE de 2021 -OBJETO G.  HONORARIOS-ART No.424</t>
  </si>
  <si>
    <t>DS AUTORIZACION DE PAGO 04 CONTRATO 502  DEL 2021 PERIODO 01 al 31 DE OCTUBRE de 2021 -OBJETO G.  HONORARIOS-ART No.424</t>
  </si>
  <si>
    <t>DS PAGO 5 OBJETO G contrato No. 502 de 2021 conforme a la cláusula No. 9 del período comprendido entre el 1 y el 30 de noviembre de 2021. ART 424</t>
  </si>
  <si>
    <t>DS PAGO 6 OBJETO G contrato No. 502 de 2021 del período comprendido entre el 1 y el 31 de Diciembre de 2021. ART 424</t>
  </si>
  <si>
    <t>CONTRATO  517 /2021 ANGELA PATRICIA RAMIREZ PUENTES</t>
  </si>
  <si>
    <t>DS AUTORIZACION DE PAGO 01 CONTRATO 517 de 2021  DEL PERIODO DEL 13 AL 31 DE JULIO 2021 -OBJETO G.  HONORARIOS-ART No.424</t>
  </si>
  <si>
    <t>DS AUTORIZACION DE PAGO 02 CONTRATO 517 de 2021  DEL PERIODO DEL 01 AL 31 DE AGOSTO 2021  OBJETO G  HONORARIOS ART No 424</t>
  </si>
  <si>
    <t>DS AUTORIZACION DE PAGO 03 CONTRATO 517 de 2021  DEL PERIODO DEL 01 AL 30 DE SEPTIEMBRE 2021  OBJETO G  HONORARIOS ART No 424</t>
  </si>
  <si>
    <t>DS AUTORIZACION DE PAGO 04 CONTRATO 517 de 2021  DEL PERIODO DEL 01 AL 31 DE OCTUBRE  2021  OBJETO G  HONORARIOS ART No 424</t>
  </si>
  <si>
    <t>DS PAGO 5 OBJETO G contrato No. 517 de 2021,conforme a la cláusula No.9 del período comprendido entre el 1 A 30 de Noviembre de 2021.</t>
  </si>
  <si>
    <t>DS PAGO 6  al contrato No. 517 de 2021, del período comprendido entre el 1 A 31 de Diciembre de 2021 OBJETO G - HONORARIOS-ART.424</t>
  </si>
  <si>
    <t>CONTRATO  471 /2021 EDWIN ARIEL ORTIZ FERNANDEZ</t>
  </si>
  <si>
    <t>DS AUTORIZACION DE PAGO 01 CONTRATO 471 de 2021  DEL PERIODO DEL 11 AL 30 DE JUNIO 2021 -OBJETO A.  HONORARIOS-ART No.424</t>
  </si>
  <si>
    <t>DS AUTORIZACION DE PAGO 02 CONTRATO 471 de 2021  DEL PERIODO DEL 1 AL 31 DE JULIO 2021 -OBJETO G.  HONORARIOS-ART No.424</t>
  </si>
  <si>
    <t>DS AUTORIZACION DE PAGO 03 CONTRATO 471 de 2021  DEL PERIODO DEL 1 AL 31 DE AGOSTO 2021 -OBJETO G.  HONORARIOS-ART No.424</t>
  </si>
  <si>
    <t>DS AUTORIZACION DE PAGO 04 CONTRATO 471 de 2021  DEL PERIODO DEL 1 AL 30 DE SEPTIEMBRE 2021 -OBJETO G.  HONORARIOS-ART No.424</t>
  </si>
  <si>
    <t>DS AUTORIZACION DE PAGO 05 CONTRATO 471 de 2021  DEL PERIODO DEL 1 AL 31 DE OCTUBRE 2021 -OBJETO G.  HONORARIOS-ART No.424</t>
  </si>
  <si>
    <t>DS AUTORIZACION DE PAGO 6 CONTRATO 471 de 2021  DEL PERIODO DEL 1 AL 30 DE NOVIEMBRE 2021 -OBJETO G  HONORARIOS ART No 424</t>
  </si>
  <si>
    <t>DS AUTORIZACION DE PAGO 07 CONTRATO 471 de 2021  DEL PERIODO DEL 1 AL 31 DE DICIEMBRE 2021 OBJETO G HONORARIOS ART No 424</t>
  </si>
  <si>
    <t>DS AUTORIZACION DE PAGO 01 CONTRATO 471 de 2021  LEGALIZACION DE GASTOS A LA CIUDAD DE IBAGUE LOS DIAS 11,12 Y 13 DE AGOSTO DE 2021 OBJETO G HONORARIOS PAGO 1 DE 4</t>
  </si>
  <si>
    <t>DS AUTORIZACION DE PAGO 01 CONTRATO 471 de 2021  LEGALIZACION DE GASTOS A LA CIUDAD DE BARRANQUILLA LOS DIAS 14,15,16 Y 17 DE SEPTIEMBRE DE 2021 OBJETO G PAGO 2 DE 4</t>
  </si>
  <si>
    <t>DS AUTORIZACION DE PAGO 01 CONTRATO 471 de 2021  LEGALIZACION DE GASTOS A LA CIUDAD DE ARMENIA LOS DIAS 22,23 Y 24 DE SEPTIEMBRE DE 2021 OBJETO G PAGO  3 DE 4</t>
  </si>
  <si>
    <t>DS AUTORIZACION DE PAGO 01 CONTRATO 471 de 2021  LEGALIZACION DE GASTOS A LA CIUDAD DE VILLAVICENCIO LOS DIAS 17,18 Y 19 DE NOVIEMBRE DE 2021 OBJETO G PAGO 4 DE 4</t>
  </si>
  <si>
    <t>RESOLUCION 1888/2021 COLPENSIONES</t>
  </si>
  <si>
    <t>DS PAGO UNICO RESOLUCION 1888 DE 2021-TRANSLADO DE RECURSOS PROGRAMA BEPS-VIGENCIA-2021</t>
  </si>
  <si>
    <t>NIMBUTECH S.A.S</t>
  </si>
  <si>
    <t>DS AUTORIZACION PAGO  1 SERVICIOS DE CONSULTORIA EN ANALISIS EMPRESARIAL -OBJETO B.  HONORARIOS-ART No.424</t>
  </si>
  <si>
    <t>CONTRATO  538 /2021 JOHN HENRY BOHORQUEZ</t>
  </si>
  <si>
    <t>DS AUTORIZACION DE PAGO 01 CONTRATO 538 de 2021  DEL PERIODO DEL 05 AL 31 DE AGOSTO 2021 -OBJETO H.  HONORARIOS-ART No.424</t>
  </si>
  <si>
    <t>DS AUTORIZACION DE PAGO 02 CONTRATO 538 de 2021  DEL PERIODO DEL 01 AL 31 DE SEPTIEMBRE 2021 -OBJETO H.  HONORARIOS-ART No.424</t>
  </si>
  <si>
    <t>DS AUTORIZACION DE PAGO 03 CONTRATO 538 de 2021  DEL PERIODO DEL 01 AL 31 DE OCTUBRE 2021 -OBJETO H.  HONORARIOS-ART No.424</t>
  </si>
  <si>
    <t>DS  PAGO 04 CONTRATO 538 de 2021  DEL PERIODO DEL 01 AL 30 DE NOVIEMBRE  2021 -OBJETO H.  HONORARIOS-ART No.424</t>
  </si>
  <si>
    <t>DS  PAGO 05 CONTRATO 538 de 2021  DEL PERIODO DEL 01 AL 31 DE DICIEMBRE  2021 -OBJETO H.  HONORARIOS-ART No.424</t>
  </si>
  <si>
    <t xml:space="preserve">CONTRATO  543/2021 PABLO ARISTOBULO SIERRA LEON </t>
  </si>
  <si>
    <t>DSAUTORIZACION DE PAGO 01 CONTRATO543 de 2021 DEL PERIODO DEL 09 AL 31 DEAGOSTO 2021 -OBJETO H.HONORARIOS-ART No.424</t>
  </si>
  <si>
    <t>DS AUTORIZACION DE PAGO 2 CONTRATO 543 DE 2021 - PERIODO DE SEPTIEMBRE 2021 -OBJETO  H.  HONORARIOS-ART No.424</t>
  </si>
  <si>
    <t>DS PAGO 03 CONTRATO 543 de 2021  DEL PERIODO DE OCTUBRE 2021 -OBJETO H.  HONORARIOS-ART No.424</t>
  </si>
  <si>
    <t>DS AUTORIZACION DE PAGO 04 CONTRATO 543 de 2021  DEL PERIODO DEL 01 AL 30 DE NOVIEMBRE 2021 -OBJETO H.  HONORARIOS-ART No.424</t>
  </si>
  <si>
    <t>DS AUTORIZACION DE PAGO 05 CONTRATO 543 de 2021  DEL PERIODO DEL 01 AL 31 DE DICIEMBRE 2021 OBJETO H HONORARIOS ART No 424</t>
  </si>
  <si>
    <t>CONTRATO  547/2021  JOHANNA ASTRID LOMBANA HORTÚA</t>
  </si>
  <si>
    <t>DS AUTORIZACION DE PAGO 01 CONTRATO 547 de 2021  DEL PERIODO DEL 12 AL 31 DE AGOSTO 2021 -OBJETO C.  HONORARIOS-ART No.424</t>
  </si>
  <si>
    <t>DS AUTORIZACION DE PAGO 02 CONTRATO 547 de 2021  DEL PERIODO DEL 01 AL 30 DE SEPTIEMBRE 2021 -OBJETO C.  HONORARIOS-ART No.424</t>
  </si>
  <si>
    <t>PAGO 3 contrato No. 547 de 2021, conforme a la cláusula No. 4, del período comprendido entre el 01 al 31 de octubre de 2021 ART 424 OBJETO C</t>
  </si>
  <si>
    <t>DS PAGO 4 OBJETO C contrato No. 547 de 2021 conforme a la cláusula No. 4 del período comprendido entre el 01 al 30 de noviembre de 2021. ART 424</t>
  </si>
  <si>
    <t>DS PAGO 5 contrato No 547 de 2021 conforme a la cláusula No 4 del período comprendido entre el 01 al 31 de diciembre de 2021 ART 424 OBJETO C</t>
  </si>
  <si>
    <t>CONTRATO  557/2021  SANDRA PATRICIA SALGADO GOMEZ</t>
  </si>
  <si>
    <t>DS AUTORIZACION DE PAGO 01 CONTRATO 557 de 2021  DEL PERIODO DEL 26 AL 31 DE AGOSTO 2021 -OBJETO H.  HONORARIOS-ART No.424</t>
  </si>
  <si>
    <t>DS AUTORIZACION DE PAGO 02 CONTRATO 557 de 2021  DEL PERIODO DEL 01 AL 30 DE SEPTIEMBRE 2021 -OBJETO H.  HONORARIOS-ART No.424</t>
  </si>
  <si>
    <t>DS AUTORIZACION DE PAGO 3 CONTRATO 557 de 2021  DEL PERIODO DEL 1 A 31 DE OCTUBRE 2021 OBJETO H HONORARIOS ART 424</t>
  </si>
  <si>
    <t>DS AUTORIZACION DE PAGO 4 CONTRATO 557 de 2021  DEL PERIODO DEL 1 A 30 DE NOVIEMBRE 2021 OBJETO H HONORARIOS ART 424</t>
  </si>
  <si>
    <t>DS AUTORIZACION DE PAGO 5 CONTRATO 557 de 2021  DEL PERIODO DEL 1 A 31 DE DICIEMBRE 2021 OBJETO H HONORARIOS ART 424</t>
  </si>
  <si>
    <t>CONTRATO  532/2021  LEONARDO BRUCH RODRIGUEZ</t>
  </si>
  <si>
    <t>DS AUTORIZACION DE PAGO 01 CONTRATO 532 de 2021  DEL PERIODO DEL 28 AL 31 DE JULIO 2021 -OBJETO A.  HONORARIOS-ART No.424</t>
  </si>
  <si>
    <t>DS AUTORIZACION DE PAGO 02 CONTRATO 532 de 2021  DEL PERIODO DEL 01 AL 31 DE AGOSTO 2021 -OBJETO A.  HONORARIOS-ART No.424</t>
  </si>
  <si>
    <t>DS AUTORIZACION DE PAGO 03 CONTRATO 532 de 2021  DEL PERIODO DEL 01 AL 30 DE SEPTIEMBRE 2021 -OBJETO A.  HONORARIOS-ART No.424</t>
  </si>
  <si>
    <t>DS AUTORIZACION DE PAGO 04 CONTRATO 532 de 2021  DEL PERIODO DEL 01 AL 31 DE OCTUBRE 2021 -OBJETO A.  HONORARIOS-ART No.424</t>
  </si>
  <si>
    <t>PAGO 5 NUMERO DEL PERIODO DE 1 A 30 DE NOVIEMBRE DE 2021 - Contrato 532 de 2021 ART 424 OBJETO A</t>
  </si>
  <si>
    <t>DS AUTORIZACION DE PAGO 06 CONTRATO 532 de 2021 DEL PERIODO DEL 01 AL 27 DE DICIEMBRE 2021 OBJETO A HONORARIOS ART No 424</t>
  </si>
  <si>
    <t>CONTRATO  558/2021  CAMILO ALEJANDRO PRIETO ARANGO</t>
  </si>
  <si>
    <t>DS AUTORIZACION DE PAGO 01 HONORARIOS CONTRATO 558 de 2021 DEL PERIODO DEL 27 AL 31 DE AGOSTO 2021 -OBJETO H HONORARIOS ART No.424</t>
  </si>
  <si>
    <t>DS AUTORIZACION DE PAGO 02 HONORARIOS CONTRATO 558 de 2021  DEL PERIODO DEL 1 AL 30 DE SEPTIEMBRE  2021 -OBJETO H  HONORARIOS ART No.424</t>
  </si>
  <si>
    <t>DS AUTORIZACION DE PAGO 03 HONORARIOS CONTRATO 558 de 2021  DEL PERIODO DEL 1 AL 31 DE OCTUBRE  2021 -OBJETO H  HONORARIOS ART No.424</t>
  </si>
  <si>
    <t>DS AUTORIZACION DE PAGO 4 HONORARIOS CONTRATO 558 de 2021  DEL PERIODO DEL 1 AL 30 DE NOVIEMBRE 2021 OBJETO H HONORARIOS ART No 424</t>
  </si>
  <si>
    <t>DS PAGO 05 HONORARIOS CONTRATO 558 de 2021  DEL PERIODO DEL 1 AL 31 DE DICIEMBRE  2021 -OBJETO H  HONORARIOS ART No.424</t>
  </si>
  <si>
    <t>CONTRATO  568/2021  LUZ ANGELA MARTINEZ BRAVO</t>
  </si>
  <si>
    <t>DS AUTORIZACION DE PAGO 01 CONTRATO 568  DE 2021 DEL PERIODO 02 al 30 de SEPTIMBRE de 2021 -OBJETO H.  HONORARIOS-ART No.424</t>
  </si>
  <si>
    <t>DS PAGO 2 CONTRATO 568  DE 2021  PERIODO DE 1 a 31 de octubre DEL 2021  OBJETO H ART 424</t>
  </si>
  <si>
    <t>DS AUTORIZACION DE PAGO PAGO 3 CONTRATO 568  DE 2021 PERIODO DE 1 a 30 de NOVIEMBRE DEL 2021 OBJETO H HONORARIOS ART 424</t>
  </si>
  <si>
    <t>DS PAGO 4 CONTRATO 568  DE 2021 - PERIODO DE 1 a 31 de diciembre DEL 2021 - OBJETO H HONORARIOS ART.424</t>
  </si>
  <si>
    <t>CONTRATO  552/2021  JULIAN ANDRES VELASCO HERRERA</t>
  </si>
  <si>
    <t>DS AUTORIZACION DE PAGO 1 CONTRATO 552 DE 2021 - PERIODO DEL 20 AL 31 AGOSTO 2021 -OBJETO  A.  HONORARIOS-ART No.424</t>
  </si>
  <si>
    <t>DS AUTORIZACION DE PAGO 2 CONTRATO 552 DE 2021 - PERIODO DEL 01 AL 30 SEPTIEMBRE 2021 -OBJETO  A.  HONORARIOS-ART No.424</t>
  </si>
  <si>
    <t>DS pago 3 objeto A restación de servicios profesionales por el contrato No 552 de 2021 conforme a la cláusula No 9 del 01 y el 31 de Octubre de 2021 ART 424</t>
  </si>
  <si>
    <t>DS pago 4 objeto A restación de servicios profesionales por el contrato No 552 de 2021 periodo del 01 y el 30 de noviembre de 2021 ART 424</t>
  </si>
  <si>
    <t>DS pago 5 objeto A restación de servicios profesionales por el contrato No 552 de 2021 conforme a la cláusula No 9 del 01 y el 31 de diciembre de 2021 ART 424</t>
  </si>
  <si>
    <t>CONTRATO  559/2021 EDWIN JOHANN CALVO FONSECA</t>
  </si>
  <si>
    <t>DS PAGO 01 CONTRATO 559  DE 2021 - PERIODO DE  03 al 30 DE SEPTIEMBRE DEL 2021 - OBJETO G HONORARIOS ART.424</t>
  </si>
  <si>
    <t>DS PAGO 2 CONTRATO 559  DE 2021 - PERIODO DE 1 a 31 de octubre DEL 2021 - OBJETO G HONORARIOS ART.424</t>
  </si>
  <si>
    <t>DS PAGO 3 OBJETO G Prestación de servicios profesionales por el contrato No.559, conforme a la cláusula No.9, del período comprendido entre el 1 al 30 de noviembre de 2021</t>
  </si>
  <si>
    <t>DS PAGO 04 CONTRATO 559  DE 2021  PERIODO DE  01 al 31 DE DICIEMBRE DEL 2021  OBJETO G HONORARIOS ART 424</t>
  </si>
  <si>
    <t>CONTRATO  602/2021  GABRIEL ALEJANDRO GUZMAN USECHE</t>
  </si>
  <si>
    <t>DS AUTORIZACION DE PAGO 01 DE HONORARIOS DEL  CONTRATO 602 DE 2021 - PERIODO 23 AL 30 DE SEPTIEMBRE DEL 2021 - OBJETO H HONORARIOS ART.424</t>
  </si>
  <si>
    <t>DS pago 2 contrato 602 de 2021 periodo de 1 a 31 de octubre de 2021 objeto H ARTICULO 424</t>
  </si>
  <si>
    <t>DS AUTORIZACION DE PAGO 3 contrato 602 de 2021 periodo de 1 a 30 de NOVIEMBRE de 2021 objeto H ARTICULO 424</t>
  </si>
  <si>
    <t>DS pago 4 contrato 602 de 2021 periodo de 1 a 31 de diciembre de 2021 objeto H ARTICULO 424</t>
  </si>
  <si>
    <t>CONTRATO  540/2021  MANUEL ENRIQUE GOMEZ CAMARGO</t>
  </si>
  <si>
    <t>DS AUTORIZACION DE PAGO 01 CONTRATO 540  de 2021  DEL PERIODO DEL 06 AL 31 AGOSTO DE 2021 OBJETO G  HONORARIOS-ART No.424</t>
  </si>
  <si>
    <t>DS AUTORIZACION DE PAGO 02 CONTRATO 540  de 2021  DEL PERIODO DEL 01 AL 30 SEPTIEMBRE DE 2021 OBJETO G  HONORARIOS-ART No.424</t>
  </si>
  <si>
    <t>DS PAGO NUMERO 3  contrato No. 540 de 2021, conforme a la cláusula No. 9, del 1 AL 31 de octubre de 2021 OBJETO G ART 424.</t>
  </si>
  <si>
    <t>DS PAGO 04 contrato No. 540 de 2021, periodo del 1 AL 30 de noviembre de 2021 OBJETO G ART 424.HONORARIOS-ART No.424</t>
  </si>
  <si>
    <t>DS AUTORIZACION DE PAGO 05 CONTRATO 540 de 2021 DEL PERIODO DEL 01 AL 31 DICIEMBRE DE 2021 OBJETO G HONORARIOS ART No 424</t>
  </si>
  <si>
    <t>CONTRATO  576/2021  FUNDACION NUEVO HORIZONTE OBJETO F</t>
  </si>
  <si>
    <t>CONTRATO  576/2021  FUNDACION NUEVO HORIZONTE OBJETO B</t>
  </si>
  <si>
    <t>PAGO 2 DE HONORARIOS AL CONTRATO 576 DE 2021  CORRESPONDIENTE AL 40% VALOR AL APORTE DEL FRL DEL CONTRATO OBJETO B</t>
  </si>
  <si>
    <t>CONTRATO  576/2021  FUNDACION NUEVO HORIZONTE OBJETO A</t>
  </si>
  <si>
    <t>PAGO 2 DE HONORARIOS AL CONTRATO 576 DE 2021  CORRESPONDIENTE AL 40% VALOR AL APORTE DEL FRL DEL CONTRATO OBJETO FART 141</t>
  </si>
  <si>
    <t>CONTRATO  613/2021 UNIVERSIDAD NACIONAL DE COLOMBIA OBJETO A</t>
  </si>
  <si>
    <t>CONTRATO  613/2021 UNIVERSIDAD NACIONAL DE COLOMBIA OBJETO C</t>
  </si>
  <si>
    <t>DS PAGO NUMERO 1 PRIMER PAGO CORRESPONDIENTE AL 20% DEL VALOR TOTAL DEL CONTRATO INTERADMINISTRATIVO 613 DEL 2021 CELEBRADO ENTRE EL MINISTERIO DEL TRABAJO Y LA UNIVERSIDAD NACIONAL DE COLOMBIA OBJETO C</t>
  </si>
  <si>
    <t>PAGO 2 CORRESPONDIENTE AL 30% DEL VALOR TOTAL DEL CONTRATO INTERADMINISTRATIVO 613 DEL 2021 CELEBRADO ENTRE EL MINISTERIO DEL TRABAJO Y LA UNIVERSIDAD NACIONAL DE COLOMBIA</t>
  </si>
  <si>
    <t>CONTRATO  616/2021 POSITIVA S.A.</t>
  </si>
  <si>
    <t>DS PAGO 01 contrato No 616 de 2021 del período 15 al 31 de Octubre 2021, OBJETO A.</t>
  </si>
  <si>
    <t>CONTRATO  617/2021 CONSEJO COLOMBIANO DE SEGURIDAD</t>
  </si>
  <si>
    <t>AUTORIZACION DE PAGO 1 DEL CONTRATO 617  DE 2021 - PRIMER DESEMBOLSO 30%  LINEA A- HONORARIOS ART. 424</t>
  </si>
  <si>
    <t>AUTORIZACION DE PAGO 2 DEL CONTRATO 617  DE 2021  SEGUNDO DESEMBOLSO 40% LINEA A HONORARIOS ART 424</t>
  </si>
  <si>
    <t>AUTORIZACION DE PAGO 3 DEL CONTRATO 617  DE 2021 - TERCER  DESEMBOLSO 20%  LINEA A- HONORARIOS ART. 424</t>
  </si>
  <si>
    <t>CONTRATO  663/2021 ORGANIZACION DE ESTADOS IBEROAMERICANOS PARA LA ED</t>
  </si>
  <si>
    <t>CONTRATO  614/2021 OMAR ENRIQUE HANGGI VALOYES</t>
  </si>
  <si>
    <t>DS AUTORIZACION DE PAGO 01 CONTRATO 614 de 2021  DEL PERIODO DEL 11 AL 31 DE OCTUBRE 2021 -OBJETO H,  HONORARIOS-ART No.424</t>
  </si>
  <si>
    <t>DS AUTORIZACION DE PAGO  2 CONTRATO 614 de 2021  DEL PERIODO DEL 01 AL 30 DE NOVIEMBRE DE 2021 OBJETO H HONORARIOS ART No 424</t>
  </si>
  <si>
    <t>DS PAGO 03 CONTRATO 614 de 2021  DEL PERIODO DEL 01 AL 31 DE DICIMEBRE 2021 -OBJETO H,  HONORARIOS-ART No.424</t>
  </si>
  <si>
    <t>CONTRATO  578/2021 UNIVERSIDAD FRANCISCO DE PAULA SANTANDER SECCIONAL OCAÑA OBJETO B</t>
  </si>
  <si>
    <t>CONTRATO  578/2021 UNIVERSIDAD FRANCISCO DE PAULA SANTANDER SECCIONAL OCAÑA OBJETO D</t>
  </si>
  <si>
    <t>PRIMER DESEMBOLSO DEL 20% CORRESPONDIENTE AL CONVENIO INTERADMINISTRATIVO NO. 578 DE 2021. AUNAR ESFUERZOS PARA EL DESARROLLO DE ACCIONES DE PROMOCIÓN DE LAS CONDICIONES DE SALUD, SEGURIDAD EN EL TRABAJO HONORARIOS ART 141 ANUAR ESFUERZO</t>
  </si>
  <si>
    <t>DS  PAGO NUMERO 2 OBJETO D CONTRATO 578 DE 2021 40% DEL APORTE DEL FRL</t>
  </si>
  <si>
    <t>CONTRATO  606/2021 CONSORCIO BDO FRL 2021</t>
  </si>
  <si>
    <t>AUTORIZACION DE PAGO 1 AUDITORIA ESPECIALIZADA AL FRL E INTERVENTORIA INTEGRAL AL CONTRATO DE ENCARGO FIDUCIARIO N 530 DE 2021 CUYO OBJETO ES LA ADMON DE DICHO FONDO DE 01 AL 31 DE OCTUBRE 2021</t>
  </si>
  <si>
    <t>DS PAGO 02 CONTRATO 606 DE 2021 - DEL PERIODO DEL 1 DE NOVIEMBRE DE 2021 AL 30 DE NOVIEMBRE DEL 2021 - OBJETO H HONORARIOS ART.424</t>
  </si>
  <si>
    <t>CONTRATO  530/2021 FIDUPREVISORA S.A.</t>
  </si>
  <si>
    <t>PAGO COMISION FIDUCIARIA MES DE AGOSTO DE 2021 FACTURA No.16971 ID DEL TERCERO 0010381571 ARTICULO 117</t>
  </si>
  <si>
    <t>171925477101 PAGO COMISION FIDUCIARIA MES DE SEPTIEMBRE DE 2021 FACTURA No.17192 ID DEL TERCERO 0010342021 ARTICULO 117</t>
  </si>
  <si>
    <t>CONTRATO  580/2021 UNIVERSIDAD DE PAMPLONA</t>
  </si>
  <si>
    <t>PAGO 1 contrato No. 580 de 2021, del período 20% DEL APORTE FRL.  ART 424 OBJETO B</t>
  </si>
  <si>
    <t>SEGUNDO COBRO CORRESPONDIENTE AL 40% DEL VALOR TOTAL DEL CONVENIO 580 DE 2021 SUSCRITO ENTRE EL MINISTERIO DEL TRABAJO Y LA UNIVERSIDAD DE PAMPLONA NI 999 OBETO B ART 424</t>
  </si>
  <si>
    <t>CONTRATO  OC 73735/2021 COLOMBIANA DE SOFTWARE Y HARDWARE - COLSOF LTDA</t>
  </si>
  <si>
    <t>PAGO 01 CONTRATO 73735 DE 2021 PERIODO DE 01 al 31DE SEPTIEMBRE DEL 2021 OBJETO E SERVICIOSINFORMÁTICOS ART 689 PAGO 1 DE 2</t>
  </si>
  <si>
    <t>PAGO 01 CONTRATO 73735 DE 2021 PERIODO DE 01al 31 DE SEPTIEMBRE DEL 2021 OBJETO ESERVICIOS INFORMÁTICOS ART 689PAGO 2 DE 2</t>
  </si>
  <si>
    <t>CONTRATO  630/2021 DAVID ANCINES PINEDA</t>
  </si>
  <si>
    <t>DS PAGO 01 DEL  CONTRATO 630  DE 2021 - PERIODO DEL 21 AL 31 DE OCTUBRE DE 2021 - OBJETO E HONORARIOS-ART No.424</t>
  </si>
  <si>
    <t>DS PAGO 02 DEL  CONTRATO 630  DE 2021 - PERIODO DEL 01 AL 30 DE NOVIEMBRE DE 2021 - OBJETO E HONORARIOS-ART No.424</t>
  </si>
  <si>
    <t>DS PAGO 03 DEL  CONTRATO 630  DE 2021 PERIODO DEL 21 AL 31 DE DICIEMBRE DE 2021 OBJETO E HONORARIOS ART No 424</t>
  </si>
  <si>
    <t>CONTRATO  631/2021 ORGANIZACIÓN INTERNACIONAL DEL TRABAJO OIT</t>
  </si>
  <si>
    <t>LEGALIZACION DIVISAS - PAGO 1  DE HONORARIOS DE ACUERDO AL CONTRATO 631 DE 2021 - 30% APORTES FRL - VIGENCIA 2021.ART 141 ANUAR ESFUERZO.</t>
  </si>
  <si>
    <t>LEGALIZACION DIVISAS - PAGO 2  DE HONORARIOS DE ACUERDO AL CONTRATO 631 DE 2021 - 40% APORTES FRL - VIGENCIA 2021.ART 141 ANUAR ESFUERZO.</t>
  </si>
  <si>
    <t>CONTRATO  604/2021 ADRIANA INES OROZCO USTARIZ</t>
  </si>
  <si>
    <t xml:space="preserve"> Auto Pago 1 objeto C Prestación de servicios profesionales por el contrato No 604 de 2021 conforme a la cláusula No 9 del 01 y el 31 de Octubre de 2021 ART 424</t>
  </si>
  <si>
    <t>Auto Pago 2 objeto C Prestación de servicios profesionales por el contrato No 604 de 2021 conforme a la cláusula No 9 del 01 y el 30 de Noviembre de 2021 ART 424</t>
  </si>
  <si>
    <t>Auto Pago 3 objeto C Prestación de servicios profesionales por el contrato No 604 de 2021 conforme a la cláusula No 9 del 01 y el 31 de Diciembre de 2021 ART 424</t>
  </si>
  <si>
    <t>CONTRATO  73/2022 MARIA EDITH FINDLAY SOTO</t>
  </si>
  <si>
    <t>DS pago numero 1 contrato No 073 DE 2022 conforme a la cláusula No 9 del período comprendido de 7 AL 31 DE ENERO DE 2022 articulo 424 objeto H</t>
  </si>
  <si>
    <t>DS PAGO 02 contrato No. 073 de 2022 del período  01 al 28  de febrero 2022, OBJETO H.  HONORARIOS-ART No.424</t>
  </si>
  <si>
    <t>CONTRATO  82/2022 LUZ ANGELA GONZALEZ MOLANO</t>
  </si>
  <si>
    <t>DS pago numero 1 contrato No 082 de 2022 conforme a la cláusula No 9 del período comprendido entre el 07 y el 31 de enero de 2022 articulo 424 objeto H</t>
  </si>
  <si>
    <t>DS PAGO 02 contrato No. 082 de 2022 del período  01 al 28  de febrero 2022, OBJETO H.  HONORARIOS-ART No.424</t>
  </si>
  <si>
    <t>CONTRATO  11/2022 HELENA PEÑA URREGO</t>
  </si>
  <si>
    <t>DS pago numero 1 contrato No 011 de 2022 conforme a la cláusula No 9 del período comprendido entre el 5 de enero de 2022 y el 31 de enero de 2022 articulo 424 objeto H</t>
  </si>
  <si>
    <t>DS PAGO 02 contrato No.011de 2022 del período 01 al 21  de febrero 2022, OBJETO H. HONORARIOS-ART No.424</t>
  </si>
  <si>
    <t>CONTRATO  12/2022 LEONARDO PLAZAS BETANCOURT</t>
  </si>
  <si>
    <t>DS Pago numero 1  contrato No 012 de 2022 conforme a la cláusula No 9 del período comprendido entre el 5 y el 31 de Enero de 2022 articulo 424 objeto H</t>
  </si>
  <si>
    <t>DS PAGO 02 contrato No.012 de 2022 del período 01 al 28 de febrero 2022, OBJETO H. HONORARIOS-ART No.424</t>
  </si>
  <si>
    <t>CONTRATO  135/2022 OLGA JOSEFINA THEVENING AMARIS</t>
  </si>
  <si>
    <t>DS pago numero 1 contrato No 135 de 2022 conforme a la cláusula No 9 del período comprendido entre el 12 y el 31 de enero de 2022 articulo 424 objeto A</t>
  </si>
  <si>
    <t>DS PAGO 02 contrato No,135 de 2022 del período 01 al 28 de  febrero 2022, OBJETO A. HONORARIOS-ART No.424</t>
  </si>
  <si>
    <t>CONTRATO  281/2022 ANA MARIA LOPEZ CORONADO</t>
  </si>
  <si>
    <t>DS pago numero 1 contrato No 281 de 2022 conforme a la cláusula No 9 del período comprendido entre el 18 y el 31 de enero de 2022 articulo 424 objeto A</t>
  </si>
  <si>
    <t>DS PAGO 02 contrato No.281 de 2022 del período 01 al 28 de  febrero 2022, OBJETO A. HONORARIOS-ART No.424</t>
  </si>
  <si>
    <t>CONTRATO  350/2022 RIGOBERTO OLIVELLA ARZUAGA</t>
  </si>
  <si>
    <t>DS pago numero 1 Prestación contrato No. 350 de 2022 conforme a la cláusula No 9 del período comprendido entre el 25 y el 31 de enero de 2022 articulo 424 objeto H</t>
  </si>
  <si>
    <t>DS PAGO 02 contrato No. 350  de 2022 del período  01 al 28  de febrero  2022, OBJETO H.  HONORARIOS-ART No.424</t>
  </si>
  <si>
    <t>CONTRATO  431/2022 MARIA MARLENY ARBOLEDA URREGO</t>
  </si>
  <si>
    <t>DS pago numero 1 contrato No 431 de 2022 conforme a la cláusula No 9 del período comprendido entre el 26 y el 31 de enero de 2022 articulo 424 objeto G</t>
  </si>
  <si>
    <t>DS PAGO 02 contrato No. 431  de 2022 del período  01 al 28  de febrero  2022, OBJETO G.  HONORARIOS-ART No.424</t>
  </si>
  <si>
    <t>CONTRATO  13/2022 JULIAN DAVID PEÑA MARTINEZ</t>
  </si>
  <si>
    <t>DS pago numero 1 Prestación de servicios profesionales por el contrato N 013 de 2022 conforme a la cláusula décima del período comprendido entre el 5 y 31 de enero de 2022 articulo 424 objeto H</t>
  </si>
  <si>
    <t>DS PAGO 02 contrato No.013 de 2022 del período 01 al 21  de febrero 2022, OBJETO H. HONORARIOS-ART No.424</t>
  </si>
  <si>
    <t>CONTRATO  14/2022 NATALIA BEJARANO MAYORCA</t>
  </si>
  <si>
    <t>pago numero 1 contrato No 014 de 2022 conforme a la cláusula No 9 del período comprendido entre el 5 y el 31 de enero de 2022 articulo 424 objeto H</t>
  </si>
  <si>
    <t>PAGO 02 contrato No.014 de 2022 del período  01 al 28 de febrero 2022, OBJETO H.  HONORARIOS-ART No.424</t>
  </si>
  <si>
    <t>CONTRATO  19/2022 EDGAR ANDRES GOMEZ LOPEZ</t>
  </si>
  <si>
    <t>DS pago numero 1 contrato No 019 de 2022 conforme a la cláusula No 9 del período comprendido entre el 6 y el 31 de enero de 2022 articulo 424 objeto H</t>
  </si>
  <si>
    <t>DS PAGO 02 contrato No.019 de 2022 del período 01 al 28 de febrero 2022, OBJETO H. HONORARIOS-ART No.424</t>
  </si>
  <si>
    <t>CONTRATO  164/2022 EDUARDO ENRIQUE ESTRADA GAVIRIA</t>
  </si>
  <si>
    <t>pago numero 1 Actividades desarrolladas durante el periodo comprendido entre el 13 y el 31 de enero de 2022 de acuerdo con el Contrato de Prestación de Servicios No 164 DE 2022 articulo 424 objeto H</t>
  </si>
  <si>
    <t>PAGO 02 contrato No.164 de 2022 del período  01 al 28 de febrero 2022, OBJETO H.  HONORARIOS-ART No.424</t>
  </si>
  <si>
    <t>CONTRATO  170/2022 JAIRO HUMBERTO HUERTAS CONTRERAS</t>
  </si>
  <si>
    <t>DS pago numero 1 contrato No 170 de 2022 conforme a la cláusula No 9 del período comprendido entre el 13 al 31 de Enero de 2022 articulo 424 objeto A</t>
  </si>
  <si>
    <t>DS PAGO 02 contrato No.170  de 2022 del período 01 al 28  de febrero 2022, OBJETO A.  HONORARIOS-ART No.424</t>
  </si>
  <si>
    <t>CONTRATO  188/2022 GABRIEL ALEJANDRO GUZMAN USECHE</t>
  </si>
  <si>
    <t>DS pago numero 1 Prestación de servicios profesionales por el contrato No 188 de 2022 conforme a la cláusula No 9 del período comprendido entre el 17 y el 31 de Enero de 2022 articulo 424 objeto H</t>
  </si>
  <si>
    <t>DS PAGO 02 contrato No 188  de 2022 del período  1 al 28 de febrero 2022, OBJETO H.  HONORARIOS-ART No.424</t>
  </si>
  <si>
    <t>CONTRATO  344/2022 ANDRES FELIPE VILLAMARIN SALAZAR</t>
  </si>
  <si>
    <t>DS pago numero 1 Prestación de servicios profesionales por el contrato N 344 de 2022 conforme a la cláusula No 9 del período comprendido entre el 20 y el 31 de enero de 2022 articulo 424 objeto H</t>
  </si>
  <si>
    <t>DS PAGO 02 contrato No 344  de 2022 del período  1 al 28 de febrero 2022, OBJETO H.  HONORARIOS-ART No.424</t>
  </si>
  <si>
    <t>CONTRATO  349/2022 SATURNINO SOLER ARIAS</t>
  </si>
  <si>
    <t>DS pago numero 1 contrato No 349 de 2022 conforme a la cláusula No 9 del período comprendido entre el 25 DE ENERO y el 31 de ENEREO de 2022 articulo 424 objeto H</t>
  </si>
  <si>
    <t>DS PAGO 02 contrato No.349 de 2022 del período 01 al  28 de febrero 2022, OBJETO H.  HONORARIOS-ART No.424</t>
  </si>
  <si>
    <t>CONTRATO  395/2022 GUSTAVO ADOLFO CORTES MOSQUERA</t>
  </si>
  <si>
    <t>DS pago numero 1 contrato No 395 de 2022 conforme a la cláusula No 9 del período comprendido entre el 26 y el 31 de enero de 2022 articulo 424 objeto H</t>
  </si>
  <si>
    <t>DS PAGO 02 CONTRATO 395 de 2022 -PERIODO DEL 01  AL 28 DE febrero  2022 -OBJETO H, HONORARIOS-ART 424</t>
  </si>
  <si>
    <t>CONTRATO  42/2022 LUZ MYRIAM PUENTES CORREDOR</t>
  </si>
  <si>
    <t>DS pago numero 1 contrato N 042 de 2022 conforme a la cláusula No 9 del período comprendido entre el 07 y el 31 de enero de 2022 articulo 424 objeto H</t>
  </si>
  <si>
    <t>DS PAGO 02 contrato No.042 de 2022 del período  01 al 28 de febrero 2022, OBJETO H.  HONORARIOS-ART No.424</t>
  </si>
  <si>
    <t>CONTRATO  57/2022 DIEGO FERNANDO CASTELLANOS JARAMILLO</t>
  </si>
  <si>
    <t>DS pago numero 1 contrato No. 057 de 2022 conforme a la cláusula No 9 del período comprendido entre el 11 al 31 de enero de 2022</t>
  </si>
  <si>
    <t>DS PAGO 02 contrato No.057  de 2022 del período 01 al 28  de febrero 2022, OBJETO C.  HONORARIOS-ART No.424</t>
  </si>
  <si>
    <t>CONTRATO  142/2022 DIANA MARIA GOMEZ ORTIZ</t>
  </si>
  <si>
    <t>DS pago numero 1 contrato N 142 de 2022 conforme a la cláusula No 09 del período comprendido entre el 14 y el 31 de enero de 2022 aticulo 424 objeto A</t>
  </si>
  <si>
    <t>DS PAGO 02 contrato No 142 de 2022 del período 01 al 28 de febrero  2022, OBJETO A.  HONORARIOS-ART No.424</t>
  </si>
  <si>
    <t>CONTRATO  159/2022 SANDRA JOHANNA NAVIA GOMEZ</t>
  </si>
  <si>
    <t>DS pago numero actividades desarrolladas por el grupo de Promoción y Prevención en materia del Riesgo Psicosocial por el contrato N 159 de 2022, conforme a la cláusula N 9 del período comprendido entre el 14 y el 31 de Enero de 2022</t>
  </si>
  <si>
    <t>DS PAGO 02 contrato No 159  de 2022 del período  1 al 28 de febrero 2022, OBJETO C.  HONORARIOS-ART No.424</t>
  </si>
  <si>
    <t>CONTRATO  209/2022 LINDA YANETH ORREGO GIL</t>
  </si>
  <si>
    <t>DS pago numero 1 contrato No. 209 del año 2022 conforme a la cláusula No 9 del período comprendido entre el 14 AL 31 de enero de 2022 articulo 424 objeto A</t>
  </si>
  <si>
    <t>DS PAGO 02 contrato No 209 de 2022 del período 01 al 28 de febrero  2022, OBJETO A.  HONORARIOS-ART No.424</t>
  </si>
  <si>
    <t>CONTRATO  272/2022 FLOR ANGELA HOWER PEDRAZA</t>
  </si>
  <si>
    <t>DS pago numero 1 contrato No 272 de 2022 conforme a la cláusula N 9 del período comprendido entre el 17 de enero al 31 de enero de 2022 articulo 424 objeto A</t>
  </si>
  <si>
    <t>DS PAGO 02 contrato No.272  de 2022 del período 01 al 28  de febrero  2022, OBJETO A.  HONORARIOS-ART No.424</t>
  </si>
  <si>
    <t>CONTRATO  302/2022 PAULA NICOLLE GONZALEZ MONTEJO</t>
  </si>
  <si>
    <t>DS pago numero 1 Prestación de servicios profesionales por el contrato No 302 de 2022 conforme a la cláusula N 5 obligaciones especificas del contrato del período comprendido entre el 19 y el 1 de enero de 2022.</t>
  </si>
  <si>
    <t>DS PAGO 02 contrato No.302de 2022 del período 01 al 28  de febrero  2022, OBJETO A.  HONORARIOS-ART No.424</t>
  </si>
  <si>
    <t>CONTRATO  303/2022 WILLIAM ALFREDO SALEME MARTINEZ</t>
  </si>
  <si>
    <t>DS pago numero 1 Prestación de servicios profesionales por el contrato No 303 de 2022 conforme a la cláusula No 9 del período comprendido entre el 19 y el 31 de ENERO de 2022.</t>
  </si>
  <si>
    <t>DS PAGO 02 contrato No.303 de 2022 del período 01  al 28  de febrero   2022, OBJETO G. HONORARIOS-ART No.424</t>
  </si>
  <si>
    <t>CONTRATO  319/2022 YOLANDA BELTRAN BARRERA</t>
  </si>
  <si>
    <t>DS pago numero 1 Prestación de servicios profesionales por el contrato No. 319 de 2022, conforme a la cláusula No. 9, del período comprendido entre el 19 y el 31 de enero de 2022.</t>
  </si>
  <si>
    <t>DS PAGO 02 contrato No.319 de 2022 del período 01  al 28  de febrero   2022, OBJETO A. HONORARIOS-ART No.424</t>
  </si>
  <si>
    <t>CONTRATO  347/2022 JUAN CARLOS CALDERON FERNANDEZ</t>
  </si>
  <si>
    <t>DS pago numero 1 Prestación de servicios profesionales por el contrato N 347 de 2022 conforme a la cláusula N 9 del período comprendido entre el 19 y el 31 de ENERO de 2022</t>
  </si>
  <si>
    <t>DS PAGO 02 contrato No 347 de 2022 del período 01 al 28 de Febrero 2022, OBJETO A HONORARIOS-ART No.424</t>
  </si>
  <si>
    <t>CONTRATO  348/2022 EDWIN JOHANN CALVO FONSECA</t>
  </si>
  <si>
    <t>DS pago numero 1 Prestación de servicios profesionales por el contrato N 348 de 2022 conforme a la cáusula No 9 del período comprendido entre el 25 y el 31 de ENERO de 2022</t>
  </si>
  <si>
    <t>DS PAGO 02 contrato No. 348 de 2022 del período  01 al 28  de febrero  2022, OBJETO H.  HONORARIOS-ART No.424</t>
  </si>
  <si>
    <t>CONTRATO  351/2022 FANNY MERCEDES TORRES LOPEZ</t>
  </si>
  <si>
    <t>DS pago numero 1 Prestación de servicios profesionales por el contrato N 351 de 2022, conforme a la cláusula No 9 del período comprendido entre el 20 y el 31 de Enero de 2022</t>
  </si>
  <si>
    <t>DS PAGO 02 contrato No.351 de 2022 del período 01 al  28 de febrero 2022, OBJETO A.  HONORARIOS-ART No.424</t>
  </si>
  <si>
    <t>CONTRATO  394/2022 WALTER HERNANDEZ MEJIA</t>
  </si>
  <si>
    <t>DS pago numero 1 prestacion de servicios profesionales por el contrato 394 de 2022 conforme a la clausula numero 9 del periodo entre el 24 y 31 de enero de 2022</t>
  </si>
  <si>
    <t>DS PAGO 02 contrato No.394 de 2022 del período 01  al 28  de febrero   2022, OBJETO G. HONORARIOS-ART No.424</t>
  </si>
  <si>
    <t>CONTRATO  634/2021 UNIVERSAL GROUP AGENCIA DE COMUNICACIONES SAS</t>
  </si>
  <si>
    <t>DS pago numero 1 del contrato 634 de 2021 periodo del 1 a 31 de diciembre ARTICULO 180 objeto A</t>
  </si>
  <si>
    <t>CONTRATO  36/2022 PABLO ARISTOBULO SIERRA LEON</t>
  </si>
  <si>
    <t>DS pago numero 1 contrato No 036 de 2022 conforme a la clausula No 9 del periodo comprendido entre el 7 y el 31 de Enero de 2022 articulo 424 objeto H</t>
  </si>
  <si>
    <t>DS PAGO 02 contrato No 036 de 2022 del período 01 al 28 de febrero 2022, OBJETO H.  HONORARIOS-ART No.424</t>
  </si>
  <si>
    <t>CONTRATO  49/2022 JOHN HENRY BOHORQUEZ</t>
  </si>
  <si>
    <t>DS pago numero 1 contrato No 049 de 2022 conforme a la cláusula No 9 del período comprendido entre el 07 y el 31 de enero de 2022</t>
  </si>
  <si>
    <t>DS PAGO 02 contrato No.049 de 2022 del período 01 al 28 de febrero 2022, OBJETO H. HONORARIOS-ART No.424</t>
  </si>
  <si>
    <t>CONTRATO  76/2022 ALEXANDER RAMIREZ RAMIREZ</t>
  </si>
  <si>
    <t>DS pago numero 1 contrato No 076 de 2022 conforme a la cláusula No 9 del período comprendido entre el 12 y el 31 de enero de 2022</t>
  </si>
  <si>
    <t>DS PAGO 02 contrato No.076  de 2022 del período 01 al 28  de febrero 2022, OBJETO H.  HONORARIOS-ART No.424</t>
  </si>
  <si>
    <t>CONTRATO  143/2022 ADRIANA PATRICIA AREVALO BELTRAN</t>
  </si>
  <si>
    <t>DS pago numero 1 contrato No 143 de 2022 conforme a la cláusula No 9 del período comprendido entre el 14 de enero y el 31 de enero de 2022</t>
  </si>
  <si>
    <t>DS PAGO 02 contrato No.143 de 2022 del período  01 al 28 de febrero 2022, OBJETO A.  HONORARIOS-ART No.424</t>
  </si>
  <si>
    <t>CONTRATO  147/2022 CAMILO ALEJANDRO PRIETO ARANGO</t>
  </si>
  <si>
    <t>DS pago numero 1 contrato No 147 de 2022 conforme a la cláusula No 9 del período comprendido entre el 13 y el 31 de Enero de 2022</t>
  </si>
  <si>
    <t>DS PAGO 02 contrato No.147  de 2022 del período 01 al 28  de febrero 2022, OBJETO H.  HONORARIOS-ART No.424</t>
  </si>
  <si>
    <t>CONTRATO  148/2022 JEIMMY MAGDALY ROJAS BETANCOURT</t>
  </si>
  <si>
    <t>DS pago numero 1 protección social de los trabajadores por el contrato N 148 de 2022 conforme a la cláusula N 9 del período comprendido entre el 12 y el 31 de enero de 2022</t>
  </si>
  <si>
    <t>DS PAGO 02 contrato No 148 de 2022 del período 01 al 28 de febrero  2022, OBJETO C.  HONORARIOS-ART No.424</t>
  </si>
  <si>
    <t>CONTRATO  173/2022 SHARON SASTY STEFAN GONZALEZ ESCORCIA</t>
  </si>
  <si>
    <t>DS pago numero 1 contrato No 173 de 2022 conforme a la clausula No 9 del periodo comprendido entre el 14 y el 31 de Enero de 2022 articulo 424 objeto A</t>
  </si>
  <si>
    <t>DS PAGO 02 contrato No.173  de 2022 del período 01 al 28  de febrero  2022, OBJETO A.  HONORARIOS-ART No.424</t>
  </si>
  <si>
    <t>CONTRATO  312/2022 GUSTAVO EDUARDO ARENAS CAMPOS</t>
  </si>
  <si>
    <t>DS pago numero 1 contrato No 312 de 2022 conforme a la cláusula No 9 del período comprendido entre el 18 y el 31 de enero de 2022</t>
  </si>
  <si>
    <t>DS PAGO 02 contrato No.312 de 2022 del período 01 al28 de febrero  2022, OBJETO A .  HONORARIOS-ART No.424</t>
  </si>
  <si>
    <t>CONTRATO  360/2022 OMAR ENRIQUE HANGGI VALOYES</t>
  </si>
  <si>
    <t>DS pago numero 1 contrato No 360 de 2022 conforme a la cláusula No 4.1 del período comprendido entre el 20 y el 31 de Enero de 2022</t>
  </si>
  <si>
    <t>DS PAGO 02 CONTRATO 360 de 2022 -PERIODO DEL 01  AL 28 DE febrero  2022 -OBJETO H, HONORARIOS-ART 424</t>
  </si>
  <si>
    <t>CONTRATO  370/2022 JESUS ANTONIO MORENO CUARAN</t>
  </si>
  <si>
    <t>DS pago numero 1  PRESTACION DE SERVICIOS CONTRATO370 de 2022 OBJETO G PERIODO DE 21 A 31 DE enero DE 2022 art 424</t>
  </si>
  <si>
    <t>DS PAGO 02 contrato No.370  de 2022 del período 01 al 28 de  febrero 2022, OBJETO G. HONORARIOS-ART No.424</t>
  </si>
  <si>
    <t>CONTRATO  382/2022 LUIS ALBERTO MORENO ANGARITA</t>
  </si>
  <si>
    <t>DS pago numero 1 Prestación contrato No 382 de 2022 conforme a la cláusula No 9 del período comprendido entre el 21 DE ENERO y el 31 de ENERO de 2022</t>
  </si>
  <si>
    <t>DS PAGO 02 contrato No 382 de 2022 del período 01 al 28 de febrero  2022, OBJETO A.  HONORARIOS-ART No.424</t>
  </si>
  <si>
    <t>CONTRATO  37/2022 ALIX DEL PILAR SEPULVEDA CARRASCAL</t>
  </si>
  <si>
    <t>DS PAGO 01 contrato No.037 de 2022 - período  del 07  al  31 de Enero de 2022 -OBJETO H , HONORARIOS-ART No.424</t>
  </si>
  <si>
    <t>DS PAGO 02 contrato No.037 de 2022 - período  del 01  al  28 de Febrero de 2022 -OBJETO H , HONORARIOS-ART No.424</t>
  </si>
  <si>
    <t>CONTRATO  38/2022 SANDRA PATRICIA SALGADO GOMEZ</t>
  </si>
  <si>
    <t>DS PAGO 01 CONTRATO 038 de 2022 - PERIODO DEL 07  AL  31 DE ENERO 2022 -OBJETO H, HONORARIOS ART 424</t>
  </si>
  <si>
    <t>DS PAGO 02 CONTRATO 038 de 2022 - PERIODO DEL 01  AL 28 DE FEBRERO 2022 -OBJETO H, HONORARIOS ART 424</t>
  </si>
  <si>
    <t>CONTRATO  359/2022 ARGEMIRO ALVAREZ JIMENEZ</t>
  </si>
  <si>
    <t>DS PAGO 01 CONTRATO 359 de 2022 -PERIODO DEL 24 AL 31 DE ENERO 2022 -OBJETO H, HONORARIOS-ART 424</t>
  </si>
  <si>
    <t>DS PAGO 02 CONTRATO 359 de 2022 -PERIODO DEL 01  AL 28 DE febrero  2022 -OBJETO H, HONORARIOS-ART 424</t>
  </si>
  <si>
    <t>CONTRATO  86/2022 JOSE DEL CRISTO RAMIREZ HERNANDEZ</t>
  </si>
  <si>
    <t>DS PAGO 01 contrato No 086  de 2022 del período  11 al 31 de enero 2022, OBJETO H.  HONORARIOS-ART No.424</t>
  </si>
  <si>
    <t>DS PAGO 02 contrato No 086  de 2022 del período  1 al 28 de febrero 2022, OBJETO H.  HONORARIOS-ART No.424</t>
  </si>
  <si>
    <t>CONTRATO  366/2022 YUDI VIVIANA MIN CHALA</t>
  </si>
  <si>
    <t>DS PAGO 01 contrato No 366  de 2022 del período  24 al 31 de enero 2022, OBJETO H.  HONORARIOS-ART No.424</t>
  </si>
  <si>
    <t>DS PAGO 02 contrato No.366 de 2022 del período 01  al 28  de febrero   2022, OBJETO H. HONORARIOS-ART No.424</t>
  </si>
  <si>
    <t>CONTRATO  414/2022 LEIDY YURANY ALEY PAYA</t>
  </si>
  <si>
    <t>DS PAGO 01 contrato No 414 de 2022 del período  25 al 31 de enero 2022, OBJETO E.  HONORARIOS-ART No.424</t>
  </si>
  <si>
    <t>DS PAGO 02 contrato No.414 de 2022 del período 01  al 28  de febrero   2022, OBJETO E. HONORARIOS-ART No.424</t>
  </si>
  <si>
    <t>CONTRATO  444/2022 MARIA MAGDALENA PERLAZA ARREDONDO</t>
  </si>
  <si>
    <t>DS PAGO 01 contrato No 444  de 2022 del período  26 al 31 de enero 2022, OBJETO G.  HONORARIOS-ART No.424</t>
  </si>
  <si>
    <t>DS PAGO 02 CONTRATO 444 de 2022 - PERIODO DEL 01  AL 28 DE Febrero 2022 -OBJETO G, HONORARIOS ART 424</t>
  </si>
  <si>
    <t>CONTRATO  35/2022 MARIA ALEJANDRA SANTOS YEPES</t>
  </si>
  <si>
    <t>DS PAGO 01 contrato No 035 de 2022 del período 07 al 31 de enero 2022, OBJETO C.  HONORARIOS-ART No.424</t>
  </si>
  <si>
    <t>DS PAGO 02 contrato No 035 de 2022 del período 01 al 28 de febrero  2022, OBJETO C.  HONORARIOS-ART No.424</t>
  </si>
  <si>
    <t>CONTRATO  389/2022 EDITH ANDREA RAIGOSA UPEGUI</t>
  </si>
  <si>
    <t>DS PAGO 01 contrato No 389 de 2022 del período  25 al 31 de enero 2022, OBJETO A.  HONORARIOS-ART No.424</t>
  </si>
  <si>
    <t>DS PAGO 02 contrato No 389 de 2022 del período 01 al 28 de febrero  2022, OBJETO A.  HONORARIOS-ART No.424</t>
  </si>
  <si>
    <t>CONTRATO  434/2022 MARIA DANIELA CASTAÑO DE LA TORRE</t>
  </si>
  <si>
    <t>DS PAGO 01 contrato No. 434 de 2022 del período  26 al 31 de enero 2022, OBJETO C.  HONORARIOS-ART No.424</t>
  </si>
  <si>
    <t>DS PAGO 02 contrato No.434 de 2022 del período 01  al 28  de febrero   2022, OBJETO C. HONORARIOS-ART No.424</t>
  </si>
  <si>
    <t>CONTRATO  253/2022 MONICA VIVIANA GUEVARA GONZALEZ</t>
  </si>
  <si>
    <t>DS PAGO 01 contrato No. 253 de 2022 del período  17 al 31 de enero 2022, OBJETO A.  HONORARIOS-ART No.424</t>
  </si>
  <si>
    <t>DS PAGO 02 contrato No.253  de 2022 del período 01 al 28  de febrero  2022, OBJETO A.  HONORARIOS-ART No.424</t>
  </si>
  <si>
    <t>CONTRATO  18/2022 ELVIRA DEL PILAR FORERO</t>
  </si>
  <si>
    <t>PAGO 01 contrato No. 018 de 2022 del período  06 al 31 de enero 2022, OBJETO B.  HONORARIOS-ART No.424</t>
  </si>
  <si>
    <t>PAGO 02 contrato No. 018 de 2022 del período  01 al 28 de febrero 2022, OBJETO B.  HONORARIOS-ART No.424</t>
  </si>
  <si>
    <t>CONTRATO  478/2022 LUIS ROBERTO CRUZ GONZALEZ</t>
  </si>
  <si>
    <t>DS PAGO 01 contrato No. 478 de 2022 del período  28 al 31 de enero 2022, OBJETO C.  HONORARIOS-ART No.424</t>
  </si>
  <si>
    <t>DS PAGO 02 contrato No. 478 de 2022 del período  01 al 28 de febrero 2022, OBJETO C.  HONORARIOS-ART No.424</t>
  </si>
  <si>
    <t>CONTRATO  413/2022 YENNY ISABEL PRIETO ROJAS</t>
  </si>
  <si>
    <t>DS PAGO 01 contrato No. 413 de 2022 del período  25 al 31 de enero 2022, OBJETO A.  HONORARIOS-ART No.424</t>
  </si>
  <si>
    <t>DS PAGO 02 contrato No 413 de 2022 del período 01 al 28 de febrero  2022, OBJETO A.  HONORARIOS-ART No.424</t>
  </si>
  <si>
    <t>CONTRATO  250/2022 ANGELA LILIANA CHIGUASUQUE PARDO</t>
  </si>
  <si>
    <t>DS PAGO 01 contrato No. 250 de 2022 del período  26 al 31 de enero 2022, OBJETO A.  HONORARIOS-ART No.424</t>
  </si>
  <si>
    <t>DS PAGO 02 contrato No. 250 de 2022 del período 1 al 28 de febrero 2022, OBJETO A.  HONORARIOS-ART No.424</t>
  </si>
  <si>
    <t>CONTRATO  294/2022 MIGUEL ALFONSO CALDERON MOLINA</t>
  </si>
  <si>
    <t>DS PAGO 01 contrato No. 294 de 2022 del período  20 al 31 de enero 2022, OBJETO H.  HONORARIOS-ART No.424</t>
  </si>
  <si>
    <t>DS PAGO 02 contrato No. 294 de 2022 del período 1 al 28 de febrero 2022, OBJETO H.  HONORARIOS-ART No.424</t>
  </si>
  <si>
    <t>CONTRATO  456/2022 LILIA ALEJANDRA SANCLEMENTE VELASQUEZ</t>
  </si>
  <si>
    <t>DS PAGO 01 contrato No.456 de 2022 del período  31 al 31 de enero 2022, OBJETO C.  HONORARIOS-ART No.424</t>
  </si>
  <si>
    <t>DS PAGO 02 contrato No 456 de 2022 del período 01  al 28 de febrero  2022, OBJETO C.  HONORARIOS-ART No.424</t>
  </si>
  <si>
    <t>CONTRATO  100/2022 CLAUDIA MARCELA LADINO HERRERA</t>
  </si>
  <si>
    <t>DS PAGO 01 contrato No. 100 de 2022 del período  11 al 31  de enero 2022, OBJETO E.  HONORARIOS-ART No.424</t>
  </si>
  <si>
    <t>CONTRATO  445/2022 BLANCA CRISTINA VARGAS HERNANDEZ</t>
  </si>
  <si>
    <t>DS PAGO 01 contrato No. 445  de 2022 del período  27  al 31  de enero  2022, OBJETO G.  HONORARIOS-ART No.424</t>
  </si>
  <si>
    <t>CONTRATO  463/2022 CINDY PAOLA CHACON AMADO</t>
  </si>
  <si>
    <t>DS PAGO 01 contrato No.463  de 2022 del período  26  al 31  de enero  2022, OBJETO A.  HONORARIOS-ART No.424</t>
  </si>
  <si>
    <t>DS PAGO 02 contrato No.463  de 2022 del período  01 al 28  de febrero  2022, OBJETO A.  HONORARIOS-ART No.424</t>
  </si>
  <si>
    <t>CONTRATO  469/2022 MARIA ISABEL BUITRAGO CAMARGO</t>
  </si>
  <si>
    <t>DS PAGO 01 contrato No.469  de 2022 del período  31 al 31  de enero  2022, OBJETO G.  HONORARIOS-ART No.424</t>
  </si>
  <si>
    <t>DS PAGO 02 contrato No.469  de 2022 del período  1 al 28  de febrero 2022, OBJETO G.  HONORARIOS-ART No.424</t>
  </si>
  <si>
    <t>CONTRATO  505/2022 MONICA LORENA RODRIGUEZ MEDINA</t>
  </si>
  <si>
    <t>DS PAGO 01 contrato No.505  de 2022 del período 08 al 28  de en  2022, OBJETO G.  HONORARIOS-ART No.424</t>
  </si>
  <si>
    <t>CONTRATO  304/2022 WILL ROBINSON LOPERA CARDONA</t>
  </si>
  <si>
    <t>DS PAGO 01 contrato No.304 de 2022 del período 31 al 31 de enero  2022, OBJETO G.  HONORARIOS-ART No.424</t>
  </si>
  <si>
    <t>PAGO 02 contrato No.304 de 2022 del período 01  al 28  de febrero   2022, OBJETO G. HONORARIOS-ART No.424</t>
  </si>
  <si>
    <t>CONTRATO  339/2022 JUAN CARLOS CAICEDO BUELVAS</t>
  </si>
  <si>
    <t>DS PAGO 01 contrato No.339 de 2022 del período 20 al 31 de enero 2022, OBJETO C .  HONORARIOS-ART No.424</t>
  </si>
  <si>
    <t>CONTRATO  522/2022 GERARDO ALBERTO OCHOA VEGA</t>
  </si>
  <si>
    <t>DS PAGO 01 contrato No.522 de 2022 del período  01 al 28 de febrero 2022, OBJETO A.  HONORARIOS-ART No.424</t>
  </si>
  <si>
    <t>CONTRATO  179/2022 MARIA CLAUDIA ESPAÑA DIAZ</t>
  </si>
  <si>
    <t>DS PAGO 01 contrato No.179 de 2022 del período 13 al 31 de enero  2022, OBJETO A.  HONORARIOS-ART No.424</t>
  </si>
  <si>
    <t>DS PAGO 02 contrato No.179 de 2022 del período 1 al 28 de febrero  2022, OBJETO A.  HONORARIOS-ART No.424</t>
  </si>
  <si>
    <t>CONTRATO CESION 011/2022 PAULA ANDREA BRAVO ROSERO</t>
  </si>
  <si>
    <t>DS PAGO 01 Cesion contrato No.011de 2022 del período 23 al 28  de febrero 2022, OBJETO H. HONORARIOS-ART No.424</t>
  </si>
  <si>
    <t>CONTRATO CESION 013/2022 HELENA PEÑA URREGO</t>
  </si>
  <si>
    <t>DS PAGO 01 Cesion contrato No.013 de 2022 del período 23 al 28  de febrero 2022, OBJETO H. HONORARIOS-ART No.424</t>
  </si>
  <si>
    <t>CONTRATO  341/2022 JOSE WILLIAM ALVARADO</t>
  </si>
  <si>
    <t>DS PAGO 01 contrato No.341 de 2022 del período 25 al 31 de enero 2022, OBJETO H. HONORARIOS-ART No.424</t>
  </si>
  <si>
    <t>DS PAGO 02 contrato No.341 de 2022 del período 1 al 28 de febrero 2022, OBJETO C. HONORARIOS-ART No.424</t>
  </si>
  <si>
    <t>CONTRATO  391/2022 ANGELA PATRICIA RAMIREZ PUENTES</t>
  </si>
  <si>
    <t>DS PAGO 01 contrato No.391 de 2022 del período 25 al 31 de enero 2022, OBJETO A. HONORARIOS-ART No.424</t>
  </si>
  <si>
    <t>DS PAGO 02 contrato No 391 de 2022 del período 01 al 28 de febrero  2022, OBJETO A.  HONORARIOS-ART No.424</t>
  </si>
  <si>
    <t>CONTRATO  472/2022 FELIPE CHAVEZ MARTINEZ</t>
  </si>
  <si>
    <t>DS PAGO 01 contrato No.472  de 2022 del período 28 al 31 de enero 2022, OBJETO B. HONORARIOS-ART No.424</t>
  </si>
  <si>
    <t>DS PAGO 02 contrato No.472  de 2022 del período 1 al 28 de febrero 2022, OBJETO B. HONORARIOS-ART No.424</t>
  </si>
  <si>
    <t>CONTRATO  457/2022 MARIA ALEXANDRA MERLANO MORALES</t>
  </si>
  <si>
    <t>DS PAGO 01 contrato No.457  de 2022 del período 27 al 31 de enero  2022, OBJETO A. HONORARIOS-ART No.424</t>
  </si>
  <si>
    <t>DS PAGO 02 contrato No.457  de 2022 del período 01 al 28 de febrero  2022, OBJETO A. HONORARIOS-ART No.424</t>
  </si>
  <si>
    <t>CONTRATO  488/2022 SANTIAGO CHAVARRO MARIN</t>
  </si>
  <si>
    <t>DS PAGO 01 contrato No.488 de 2022 del período 02 al 28 de febrero  2022, OBJETO G. HONORARIOS-ART No.424</t>
  </si>
  <si>
    <t>CONTRATO  373/2022 BETTY ESPERANZA HERRERA GARCIA</t>
  </si>
  <si>
    <t>DS PAGO 01 contrato No 373  de 2022 del período 25  al 31 de enero 2022, OBJETO A.  HONORARIOS-ART No.424</t>
  </si>
  <si>
    <t>CONTRATO  454/2022 JUAN CARLOS SUAREZ RIAÑO</t>
  </si>
  <si>
    <t>DS PAGO 01 contrato No 454 de 2022 del período 03 al 28 de febrero  2022, OBJETO A.  HONORARIOS-ART No.424</t>
  </si>
  <si>
    <t>CONTRATO  455/2022 JOSE ALBERTO BORBON REYES</t>
  </si>
  <si>
    <t>DS PAGO 01 contrato No 455 de 2022 del período 27  al 31 de enero  2022, OBJETO A.  HONORARIOS-ART No.424</t>
  </si>
  <si>
    <t>DS PAGO 02 contrato No 455 de 2022 del período 01  al 28 de febrero   2022, OBJETO A.  HONORARIOS-ART No.424</t>
  </si>
  <si>
    <t>CONTRATO  484/2022 ANLLY BIBIANA MORA CASTELLANOS</t>
  </si>
  <si>
    <t>DS PAGO 01 contrato No 484 de 2022 del período 31 al 31 de enero  2022, OBJETO A.  HONORARIOS-ART No.424</t>
  </si>
  <si>
    <t>DS PAGO 02 contrato No 484 de 2022 del período 1 al 28 de febrero 2022, OBJETO A.  HONORARIOS-ART No.424</t>
  </si>
  <si>
    <t>CONTRATO  528/2022 LIZZETH GERALDINE TACERA GONZALEZ</t>
  </si>
  <si>
    <t>DS PAGO 01 contrato No 528 de 2022 del período 01 al 28 de febrero   2022, OBJETO A.  HONORARIOS-ART No.424</t>
  </si>
  <si>
    <t>CONTRATO  352/2022 VIVIANA MARCELA PEDRAZA SERRANO</t>
  </si>
  <si>
    <t>DS PAGO 01 contrato No 352 de 2022 del período 21 al 31 de Enero 2022, OBJETO G.  HONORARIOS-ART No.424</t>
  </si>
  <si>
    <t>DS PAGO 02 contrato No 352 de 2022 del período 1 al 28 de Febrero 2022, OBJETO G.  HONORARIOS-ART No.424</t>
  </si>
  <si>
    <t>CONTRATO  364/2022 JOANETH MELISSA COCA DELGADILLO</t>
  </si>
  <si>
    <t>DS PAGO 01 contrato No 364 de 2022 del período 24 al 31 de Enero 2022, OBJETO A.  HONORARIOS-ART No.424</t>
  </si>
  <si>
    <t>DS PAGO 02 contrato No 364 de 2022 del período 1 al 28 de Febrero 2022, OBJETO A.  HONORARIOS-ART No.424</t>
  </si>
  <si>
    <t>CONTRATO  368/2022 CARLOS DARIO ARENAS GRANADA</t>
  </si>
  <si>
    <t>DS PAGO 01 contrato No 368 de 2022 del período 25 al 31 de Enero 2022, OBJETO A.  HONORARIOS-ART No.424</t>
  </si>
  <si>
    <t>DS PAGO 02 contrato No 368 de 2022 del período 1 al 28 de Febrero 2022, OBJETO A.  HONORARIOS-ART No.424</t>
  </si>
  <si>
    <t>CONTRATO  447/2022 HARBEY MARTINEZ MEDINA</t>
  </si>
  <si>
    <t>DS PAGO 01 contrato No 447 de 2022 del período 04 al 28 de Febrero 2022, OBJETO H.  HONORARIOS-ART No.424</t>
  </si>
  <si>
    <t>CONTRATO  470/2022 LAURA BORREGO SANCHEZ</t>
  </si>
  <si>
    <t>DS PAGO 01 contrato No 470 de 2022 del período 01 al 28 de Febrero 2022, OBJETO A HONORARIOS-ART No.424</t>
  </si>
  <si>
    <t>CONTRATO  492/2022 JHON CRISTIAN RODRIGUEZ CHILITO</t>
  </si>
  <si>
    <t>DS PAGO 01 contrato No 492 de 2022 del período 31 de enero 2022 al 31 de Enero 2022, OBJETO A HONORARIOS-ART No.424</t>
  </si>
  <si>
    <t>CONTRATO  502/2022 MARTHA LUCIA RICO SANTOS</t>
  </si>
  <si>
    <t>DS PAGO 01 contrato No 502 de 2022 del período del 1 de Febrero 2022 al 28 de Febrero 2022, OBJETO H HONORARIOS-ART No.424</t>
  </si>
  <si>
    <t>CONTRATO  508/2022 CESAR AUGUSTO OJEDA GALINDO</t>
  </si>
  <si>
    <t>DS PAGO 01 contrato No 508 de 2022 del período  31 de enero al 31 enero 2022, OBJETO A.  HONORARIOS-ART No.424</t>
  </si>
  <si>
    <t>DS PAGO 02 contrato No 508 de 2022 del período 1 de febrero al 28 Febrero 2022, OBJETO A.  HONORARIOS-ART No.424</t>
  </si>
  <si>
    <t>CONTRATO  365/2022 FABIO ANDRES BENAVIDES ORTEGA</t>
  </si>
  <si>
    <t>DS PAGO 01 contrato No 365  de 2022 del período  25 al 31 de enero 2022, OBJETO A.  HONORARIOS-ART No.424</t>
  </si>
  <si>
    <t>DS PAGO 02 contrato No 365  de 2022 del período 01 al 28 de febrero 2022, OBJETO A.  HONORARIOS-ART No.424</t>
  </si>
  <si>
    <t>CONTRATO  453/2022 LEONARDO BUNCH RODRIGUEZ</t>
  </si>
  <si>
    <t>DS PAGO 01 contrato No 453  de 2022 del período  3 al 28 de febrero 2022, OBJETO A.  HONORARIOS-ART No.424</t>
  </si>
  <si>
    <t>CONTRATO  482/2022 LUISA FERNANDA RAMIREZ SUAREZ</t>
  </si>
  <si>
    <t>DS PAGO 01 contrato No 482  de 2022 del período  27 al 31 de enero 2022, OBJETO A.  HONORARIOS-ART No.424</t>
  </si>
  <si>
    <t>DS PAGO 02 contrato No 482  de 2022 del período  1 al 28 de febrero 2022, OBJETO A.  HONORARIOS-ART No.424</t>
  </si>
  <si>
    <t>CONTRATO  483/2022 MARIA FERNANDA JARAMILLO MAFFIOL</t>
  </si>
  <si>
    <t>DS PAGO 01 contrato No 483  de 2022 del período  31 al 31 de enero 2022, OBJETO A.  HONORARIOS-ART No.424</t>
  </si>
  <si>
    <t>DS PAGO 02 contrato No 483  de 2022 del período  1 al 28 de febrero 2022, OBJETO A.  HONORARIOS-ART No.424</t>
  </si>
  <si>
    <t xml:space="preserve">CONTRATO  367/2022 NESTOR JAVIER ORTIZ ORTIZ </t>
  </si>
  <si>
    <t>DS PAGO 01 CONTRATO 367 de 2022 - PERIODO DEL 24  AL 31 DE Enero 2022 -OBJETO G, HONORARIOS ART 424</t>
  </si>
  <si>
    <t>DS PAGO 02 CONTRATO 367 de 2022 - PERIODO DEL 01  AL 28 DE Febrero 2022 -OBJETO G, HONORARIOS ART 424</t>
  </si>
  <si>
    <t>CONTRATO  465/2022 JORGE DAVID ZORRO BAYONA</t>
  </si>
  <si>
    <t>PAGO 01 contrato No. 465 de 2022 del período  28 al 31 de enero 2022, OBJETO A.  HONORARIOS-ART No.424</t>
  </si>
  <si>
    <t>PAGO 02 contrato No. 465 de 2022 del período  01 al 28 de febrero 2022, OBJETO A.  HONORARIOS-ART No.424</t>
  </si>
  <si>
    <t>CONTRATO  471/2022 LAURA CATHERINE PARRA FLOREZ</t>
  </si>
  <si>
    <t>DS PAGO 01 contrato No.471 de 2022 del período 31 al 31 de Enero 2022, OBJETO A. HONORARIOS-ART No.424</t>
  </si>
  <si>
    <t>DS PAGO 02 contrato No.471 de 2022 del período 1 al 28 de Febrero 2022, OBJETO A. HONORARIOS-ART No.424</t>
  </si>
  <si>
    <t>CONTRATO  511/2022 SULAY SAIRA MEDINA POVEDA</t>
  </si>
  <si>
    <t>DS PAGO 01 contrato No.511 de 2022 del período 31 al 31 de Enero 2022, OBJETO B. HONORARIOS-ART No.424</t>
  </si>
  <si>
    <t>DS PAGO 02 contrato No.511 de 2022 del período 1 al 28 de Febrero 2022, OBJETO B. HONORARIOS-ART No.424</t>
  </si>
  <si>
    <t>CONTRATO  196/2022 LUZ ANGELA MARTINEZ BRAVO</t>
  </si>
  <si>
    <t>DS PAGO 01 CONTRATO 196 DE 2022 - PERIODO DE 14 a 31 de enero DEL 2022 - OBJETO H HONORARIOS ART.424</t>
  </si>
  <si>
    <t>DS PAGO 02 CONTRATO 196 DE 2022 - PERIODO DE 1 al 28 de febrero DEL 2022 - OBJETO H HONORARIOS ART.424</t>
  </si>
  <si>
    <t>CONTRATO  342/2022 MARGARETH ALEJANDRA LUGO PINZON</t>
  </si>
  <si>
    <t>DS AUTORIZACION DE PAGO 01 CONTRATO 342  de 2022  DEL PERIODO DEL 25 AL 31 DE ENERO 2022 -OBJETO C.  HONORARIOS-ART No.424</t>
  </si>
  <si>
    <t>DS AUTORIZACION DE PAGO 02 CONTRATO 342  de 2022  DEL PERIODO DEL 1 AL 28 DE FEBRERO 2022 -OBJETO C.  HONORARIOS-ART No.424</t>
  </si>
  <si>
    <t>CONTRATO  417/2022 ADRIANA INES OROZCO USTARIZ</t>
  </si>
  <si>
    <t>DS PAGO 01 contrato No.417 de 2022 del período 31 al 31 de Enero 2022, OBJETO A. HONORARIOS-ART No.424</t>
  </si>
  <si>
    <t>CONTRATO  424/2022 RUTH CONSUELO SUAREZ TORRES</t>
  </si>
  <si>
    <t>DS PAGO 1 OBJETO A contrato 424 de 2022, conforme a lacláusula No. 4 , del período comprendido entre el 26 al 31 de enero del 2022</t>
  </si>
  <si>
    <t>DS PAGO 2 OBJETO A contrato 424 de 2022, conforme a lacláusula No. 4 , del período comprendido entre el 1 al 28 de febrero del 2022</t>
  </si>
  <si>
    <t>CONTRATO  464/2022 JULIAN ANDRES VELASCO HERRERA</t>
  </si>
  <si>
    <t>DS PAGO 01 contrato No 464 de 2022 del período 31 al 31 de enero 2022, OBJETO A.  HONORARIOS-ART No.424</t>
  </si>
  <si>
    <t>CONTRATO  477/2022 DANIELA MARIA ESCOBAR BORRAEZ</t>
  </si>
  <si>
    <t>DS PAGO 01 CONTRATO 477 DE 2022 - PERIODO DE 31 AL 31 de enero DEL 2022 - OBJETO E HONORARIOS ART.424</t>
  </si>
  <si>
    <t xml:space="preserve">CONTRATO  504/2022 MANUEL ENRIQUE GOMEZ CAMARGO </t>
  </si>
  <si>
    <t>DS PAGO 01 contrato No.504 de 2022 del período 31 al 31 de Enero 2022, OBJETO C. HONORARIOS-ART No.424</t>
  </si>
  <si>
    <t xml:space="preserve">CONTRATO  274/2022 ANGELA YOLIMA NOVA MOLANO </t>
  </si>
  <si>
    <t>DS PAGO 01 contrato No 274 de 2022 del período 25 al 31 de Enero 2022, OBJETO A.  HONORARIOS-ART No.424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</si>
</sst>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4" formatCode="_-&quot;$&quot;\ * #,##0.00_-;\-&quot;$&quot;\ * #,##0.00_-;_-&quot;$&quot;\ * &quot;-&quot;??_-;_-@_-"/>
    <numFmt numFmtId="164" formatCode="_(&quot;$&quot;\ * #,##0.00_);_(&quot;$&quot;\ * \(#,##0.00\);_(&quot;$&quot;\ * &quot;-&quot;??_);_(@_)"/>
    <numFmt numFmtId="165" formatCode="&quot;$&quot;#,##0.00;\-&quot;$&quot;#,##0.00"/>
    <numFmt numFmtId="166" formatCode="_ * #,##0.00_ ;_ * \-#,##0.00_ ;_ * &quot;-&quot;??_ ;_ @_ "/>
    <numFmt numFmtId="167" formatCode="&quot;$&quot;\ #,##0.00"/>
    <numFmt numFmtId="168" formatCode="_(* #,##0.00_);_(* \(#,##0.00\);_(* &quot;-&quot;??_);_(@_)"/>
    <numFmt numFmtId="169" formatCode="0.000"/>
    <numFmt numFmtId="170" formatCode="_ &quot;$&quot;\ * #,##0.00_ ;_ &quot;$&quot;\ * \-#,##0.00_ ;_ &quot;$&quot;\ * &quot;-&quot;_ ;_ @_ "/>
    <numFmt numFmtId="171" formatCode="_ &quot;$&quot;\ * #,##0_ ;_ &quot;$&quot;\ * \-#,##0_ ;_ &quot;$&quot;\ * &quot;-&quot;_ ;_ @_ "/>
  </numFmts>
  <fonts count="1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sz val="11"/>
      <name val="Calibri"/>
      <family val="2"/>
      <scheme val="minor"/>
    </font>
    <font>
      <sz val="11"/>
      <color indexed="9"/>
      <name val="Calibri"/>
      <family val="2"/>
      <scheme val="minor"/>
    </font>
    <font>
      <b/>
      <sz val="11"/>
      <color indexed="9"/>
      <name val="Calibri"/>
      <family val="2"/>
      <scheme val="minor"/>
    </font>
    <font>
      <b/>
      <sz val="11"/>
      <name val="Calibri"/>
      <family val="2"/>
      <scheme val="minor"/>
    </font>
    <font>
      <sz val="11"/>
      <color indexed="8"/>
      <name val="Calibri"/>
      <family val="2"/>
      <scheme val="minor"/>
    </font>
    <font>
      <sz val="11"/>
      <color indexed="8"/>
      <name val="Calibri"/>
      <family val="2"/>
    </font>
    <font>
      <sz val="11"/>
      <color theme="5" tint="-0.249977111117893"/>
      <name val="Calibri"/>
      <family val="2"/>
      <scheme val="minor"/>
    </font>
    <font>
      <sz val="10"/>
      <color theme="1"/>
      <name val="Calibri"/>
      <family val="2"/>
      <scheme val="minor"/>
    </font>
    <font>
      <b/>
      <sz val="10"/>
      <color theme="0"/>
      <name val="Calibri"/>
      <family val="2"/>
      <scheme val="minor"/>
    </font>
    <font>
      <b/>
      <sz val="9"/>
      <color indexed="81"/>
      <name val="Tahoma"/>
      <family val="2"/>
    </font>
    <font>
      <sz val="9"/>
      <color indexed="81"/>
      <name val="Tahoma"/>
      <family val="2"/>
    </font>
  </fonts>
  <fills count="11">
    <fill>
      <patternFill patternType="none"/>
    </fill>
    <fill>
      <patternFill patternType="gray125"/>
    </fill>
    <fill>
      <patternFill patternType="solid">
        <fgColor rgb="FF66003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0000"/>
        <bgColor indexed="64"/>
      </patternFill>
    </fill>
    <fill>
      <patternFill patternType="solid">
        <fgColor theme="4"/>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16">
    <xf numFmtId="0" fontId="0" fillId="0" borderId="0"/>
    <xf numFmtId="41"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1" fillId="0" borderId="0"/>
    <xf numFmtId="0" fontId="5" fillId="0" borderId="0"/>
    <xf numFmtId="166" fontId="5" fillId="0" borderId="0" applyFont="0" applyFill="0" applyBorder="0" applyAlignment="0" applyProtection="0"/>
    <xf numFmtId="168" fontId="11" fillId="0" borderId="0" applyFont="0" applyFill="0" applyBorder="0" applyAlignment="0" applyProtection="0"/>
    <xf numFmtId="166" fontId="5" fillId="0" borderId="0" applyFont="0" applyFill="0" applyBorder="0" applyAlignment="0" applyProtection="0"/>
    <xf numFmtId="168" fontId="11" fillId="0" borderId="0" applyFont="0" applyFill="0" applyBorder="0" applyAlignment="0" applyProtection="0"/>
    <xf numFmtId="0" fontId="1" fillId="0" borderId="0"/>
    <xf numFmtId="0" fontId="5" fillId="0" borderId="0"/>
    <xf numFmtId="171" fontId="5" fillId="0" borderId="0" applyFont="0" applyFill="0" applyBorder="0" applyAlignment="0" applyProtection="0"/>
  </cellStyleXfs>
  <cellXfs count="300">
    <xf numFmtId="0" fontId="0" fillId="0" borderId="0" xfId="0"/>
    <xf numFmtId="0" fontId="2" fillId="2" borderId="0" xfId="5" applyFont="1" applyFill="1" applyBorder="1" applyAlignment="1">
      <alignment horizontal="center" vertical="center"/>
    </xf>
    <xf numFmtId="0" fontId="6" fillId="0" borderId="0" xfId="5" applyFont="1" applyFill="1"/>
    <xf numFmtId="42" fontId="6" fillId="0" borderId="0" xfId="3" applyFont="1" applyFill="1"/>
    <xf numFmtId="0" fontId="2" fillId="2" borderId="1" xfId="5" applyFont="1" applyFill="1" applyBorder="1" applyAlignment="1">
      <alignment horizontal="center"/>
    </xf>
    <xf numFmtId="164" fontId="2" fillId="2" borderId="1" xfId="5" applyNumberFormat="1" applyFont="1" applyFill="1" applyBorder="1" applyAlignment="1">
      <alignment horizontal="center"/>
    </xf>
    <xf numFmtId="164" fontId="2" fillId="2" borderId="1" xfId="5" applyNumberFormat="1" applyFont="1" applyFill="1" applyBorder="1" applyAlignment="1">
      <alignment horizontal="centerContinuous" vertical="top"/>
    </xf>
    <xf numFmtId="164" fontId="2" fillId="2" borderId="1" xfId="5" applyNumberFormat="1" applyFont="1" applyFill="1" applyBorder="1" applyAlignment="1">
      <alignment horizontal="centerContinuous"/>
    </xf>
    <xf numFmtId="164" fontId="2" fillId="2" borderId="0" xfId="5" applyNumberFormat="1" applyFont="1" applyFill="1" applyBorder="1" applyAlignment="1">
      <alignment horizontal="center" vertical="center" wrapText="1"/>
    </xf>
    <xf numFmtId="0" fontId="7" fillId="2" borderId="1" xfId="5" applyFont="1" applyFill="1" applyBorder="1"/>
    <xf numFmtId="165" fontId="8" fillId="2" borderId="1" xfId="5" applyNumberFormat="1" applyFont="1" applyFill="1" applyBorder="1"/>
    <xf numFmtId="164" fontId="8" fillId="2" borderId="1" xfId="5" applyNumberFormat="1" applyFont="1" applyFill="1" applyBorder="1"/>
    <xf numFmtId="164" fontId="8" fillId="2" borderId="0" xfId="5" applyNumberFormat="1" applyFont="1" applyFill="1" applyBorder="1"/>
    <xf numFmtId="0" fontId="6" fillId="0" borderId="1" xfId="5" applyFont="1" applyFill="1" applyBorder="1"/>
    <xf numFmtId="42" fontId="6" fillId="0" borderId="1" xfId="3" applyFont="1" applyFill="1" applyBorder="1"/>
    <xf numFmtId="0" fontId="8" fillId="0" borderId="0" xfId="6" applyFont="1" applyFill="1"/>
    <xf numFmtId="15" fontId="1" fillId="0" borderId="1" xfId="7" applyNumberFormat="1" applyFont="1" applyFill="1" applyBorder="1" applyAlignment="1">
      <alignment horizontal="center" vertical="center"/>
    </xf>
    <xf numFmtId="0" fontId="6" fillId="0" borderId="1" xfId="8" applyFont="1" applyFill="1" applyBorder="1" applyAlignment="1">
      <alignment horizontal="left" vertical="center" wrapText="1"/>
    </xf>
    <xf numFmtId="164" fontId="6" fillId="0" borderId="1" xfId="5" applyNumberFormat="1" applyFont="1" applyFill="1" applyBorder="1"/>
    <xf numFmtId="164" fontId="9" fillId="0" borderId="1" xfId="5" applyNumberFormat="1" applyFont="1" applyFill="1" applyBorder="1"/>
    <xf numFmtId="164" fontId="9" fillId="0" borderId="0" xfId="5" applyNumberFormat="1" applyFont="1" applyFill="1" applyBorder="1"/>
    <xf numFmtId="0" fontId="6" fillId="0" borderId="0" xfId="6" applyFont="1" applyFill="1"/>
    <xf numFmtId="0" fontId="6" fillId="0" borderId="1" xfId="8" applyFont="1" applyFill="1" applyBorder="1" applyAlignment="1">
      <alignment horizontal="left" vertical="center"/>
    </xf>
    <xf numFmtId="165" fontId="6" fillId="0" borderId="1" xfId="5" applyNumberFormat="1" applyFont="1" applyFill="1" applyBorder="1" applyAlignment="1"/>
    <xf numFmtId="167" fontId="1" fillId="0" borderId="1" xfId="9" applyNumberFormat="1" applyFont="1" applyFill="1" applyBorder="1" applyAlignment="1"/>
    <xf numFmtId="164" fontId="6" fillId="0" borderId="1" xfId="5" applyNumberFormat="1" applyFont="1" applyFill="1" applyBorder="1" applyAlignment="1"/>
    <xf numFmtId="164" fontId="6" fillId="0" borderId="0" xfId="5" applyNumberFormat="1" applyFont="1" applyFill="1" applyBorder="1" applyAlignment="1"/>
    <xf numFmtId="0" fontId="6" fillId="0" borderId="0" xfId="5" applyFont="1" applyFill="1" applyAlignment="1"/>
    <xf numFmtId="0" fontId="6" fillId="0" borderId="1" xfId="5" applyFont="1" applyFill="1" applyBorder="1" applyAlignment="1"/>
    <xf numFmtId="42" fontId="6" fillId="0" borderId="1" xfId="3" applyFont="1" applyFill="1" applyBorder="1" applyAlignment="1"/>
    <xf numFmtId="42" fontId="6" fillId="0" borderId="0" xfId="3" applyFont="1" applyFill="1" applyAlignment="1"/>
    <xf numFmtId="0" fontId="6" fillId="0" borderId="0" xfId="6" applyFont="1" applyFill="1" applyAlignment="1"/>
    <xf numFmtId="15" fontId="6" fillId="0" borderId="1" xfId="5" applyNumberFormat="1" applyFont="1" applyFill="1" applyBorder="1" applyAlignment="1">
      <alignment horizontal="center" vertical="center" wrapText="1"/>
    </xf>
    <xf numFmtId="0" fontId="6" fillId="0" borderId="1" xfId="5" applyFont="1" applyFill="1" applyBorder="1" applyAlignment="1">
      <alignment wrapText="1"/>
    </xf>
    <xf numFmtId="165" fontId="6" fillId="0" borderId="1" xfId="5" applyNumberFormat="1" applyFont="1" applyFill="1" applyBorder="1"/>
    <xf numFmtId="15" fontId="10" fillId="0" borderId="1" xfId="7" applyNumberFormat="1" applyFont="1" applyFill="1" applyBorder="1" applyAlignment="1">
      <alignment horizontal="center" vertical="center"/>
    </xf>
    <xf numFmtId="49" fontId="6" fillId="0" borderId="1" xfId="8" applyNumberFormat="1" applyFont="1" applyFill="1" applyBorder="1"/>
    <xf numFmtId="168" fontId="6" fillId="0" borderId="1" xfId="10" applyFont="1" applyFill="1" applyBorder="1"/>
    <xf numFmtId="15" fontId="1" fillId="0" borderId="0" xfId="7" applyNumberFormat="1" applyFont="1" applyFill="1" applyBorder="1" applyAlignment="1">
      <alignment horizontal="center" vertical="center"/>
    </xf>
    <xf numFmtId="49" fontId="6" fillId="0" borderId="0" xfId="8" applyNumberFormat="1" applyFont="1" applyFill="1" applyBorder="1"/>
    <xf numFmtId="165" fontId="6" fillId="0" borderId="0" xfId="5" applyNumberFormat="1" applyFont="1" applyFill="1" applyBorder="1"/>
    <xf numFmtId="164" fontId="6" fillId="0" borderId="0" xfId="5" applyNumberFormat="1" applyFont="1" applyFill="1" applyBorder="1"/>
    <xf numFmtId="167" fontId="1" fillId="0" borderId="0" xfId="9" applyNumberFormat="1" applyFont="1" applyFill="1" applyBorder="1" applyAlignment="1"/>
    <xf numFmtId="168" fontId="6" fillId="0" borderId="0" xfId="10" applyFont="1" applyFill="1" applyBorder="1"/>
    <xf numFmtId="164" fontId="6" fillId="0" borderId="0" xfId="5" applyNumberFormat="1" applyFont="1" applyFill="1"/>
    <xf numFmtId="169" fontId="6" fillId="0" borderId="1" xfId="8" applyNumberFormat="1" applyFont="1" applyFill="1" applyBorder="1"/>
    <xf numFmtId="0" fontId="7" fillId="2" borderId="3" xfId="5" applyFont="1" applyFill="1" applyBorder="1"/>
    <xf numFmtId="165" fontId="8" fillId="2" borderId="3" xfId="5" applyNumberFormat="1" applyFont="1" applyFill="1" applyBorder="1"/>
    <xf numFmtId="164" fontId="8" fillId="2" borderId="3" xfId="5" applyNumberFormat="1" applyFont="1" applyFill="1" applyBorder="1"/>
    <xf numFmtId="166" fontId="6" fillId="0" borderId="1" xfId="9" applyFont="1" applyFill="1" applyBorder="1"/>
    <xf numFmtId="49" fontId="6" fillId="0" borderId="1" xfId="8" applyNumberFormat="1" applyFont="1" applyFill="1" applyBorder="1" applyAlignment="1">
      <alignment horizontal="left" vertical="center" wrapText="1"/>
    </xf>
    <xf numFmtId="167" fontId="6" fillId="0" borderId="0" xfId="5" applyNumberFormat="1" applyFont="1" applyFill="1"/>
    <xf numFmtId="15" fontId="6" fillId="0" borderId="1" xfId="5" applyNumberFormat="1" applyFont="1" applyBorder="1" applyAlignment="1">
      <alignment horizontal="center" vertical="center" wrapText="1"/>
    </xf>
    <xf numFmtId="0" fontId="6" fillId="0" borderId="1" xfId="5" applyFont="1" applyBorder="1" applyAlignment="1">
      <alignment wrapText="1"/>
    </xf>
    <xf numFmtId="4" fontId="6" fillId="0" borderId="0" xfId="5" applyNumberFormat="1" applyFont="1" applyFill="1"/>
    <xf numFmtId="0" fontId="6" fillId="0" borderId="1" xfId="6" applyFont="1" applyFill="1" applyBorder="1"/>
    <xf numFmtId="164" fontId="6" fillId="0" borderId="1" xfId="6" applyNumberFormat="1" applyFont="1" applyFill="1" applyBorder="1"/>
    <xf numFmtId="166" fontId="6" fillId="0" borderId="0" xfId="9" applyFont="1" applyFill="1" applyBorder="1"/>
    <xf numFmtId="49" fontId="6" fillId="0" borderId="0" xfId="8" applyNumberFormat="1" applyFont="1" applyFill="1" applyBorder="1" applyAlignment="1">
      <alignment horizontal="left" vertical="center" wrapText="1"/>
    </xf>
    <xf numFmtId="168" fontId="6" fillId="0" borderId="4" xfId="10" applyFont="1" applyFill="1" applyBorder="1"/>
    <xf numFmtId="166" fontId="6" fillId="0" borderId="0" xfId="9" applyFont="1" applyFill="1"/>
    <xf numFmtId="164" fontId="6" fillId="0" borderId="1" xfId="6" applyNumberFormat="1" applyFont="1" applyBorder="1"/>
    <xf numFmtId="0" fontId="6" fillId="0" borderId="1" xfId="6" applyFont="1" applyBorder="1"/>
    <xf numFmtId="164" fontId="6" fillId="0" borderId="0" xfId="6" applyNumberFormat="1" applyFont="1" applyFill="1"/>
    <xf numFmtId="168" fontId="1" fillId="0" borderId="1" xfId="10" applyFont="1" applyFill="1" applyBorder="1"/>
    <xf numFmtId="164" fontId="9" fillId="0" borderId="2" xfId="5" applyNumberFormat="1" applyFont="1" applyFill="1" applyBorder="1"/>
    <xf numFmtId="4" fontId="6" fillId="0" borderId="1" xfId="9" applyNumberFormat="1" applyFont="1" applyFill="1" applyBorder="1" applyAlignment="1">
      <alignment horizontal="right" vertical="center"/>
    </xf>
    <xf numFmtId="15" fontId="1" fillId="0" borderId="3" xfId="7" applyNumberFormat="1" applyFont="1" applyFill="1" applyBorder="1" applyAlignment="1">
      <alignment horizontal="center" vertical="center"/>
    </xf>
    <xf numFmtId="15" fontId="1" fillId="0" borderId="2" xfId="7" applyNumberFormat="1" applyFont="1" applyFill="1" applyBorder="1" applyAlignment="1">
      <alignment horizontal="center" vertical="center"/>
    </xf>
    <xf numFmtId="49" fontId="6" fillId="0" borderId="2" xfId="8" applyNumberFormat="1" applyFont="1" applyFill="1" applyBorder="1" applyAlignment="1">
      <alignment horizontal="left" vertical="center" wrapText="1"/>
    </xf>
    <xf numFmtId="165" fontId="6" fillId="0" borderId="2" xfId="5" applyNumberFormat="1" applyFont="1" applyFill="1" applyBorder="1"/>
    <xf numFmtId="166" fontId="6" fillId="0" borderId="2" xfId="9" applyFont="1" applyFill="1" applyBorder="1"/>
    <xf numFmtId="164" fontId="6" fillId="0" borderId="2" xfId="5" applyNumberFormat="1" applyFont="1" applyFill="1" applyBorder="1"/>
    <xf numFmtId="168" fontId="6" fillId="0" borderId="2" xfId="10" applyFont="1" applyFill="1" applyBorder="1"/>
    <xf numFmtId="167" fontId="1" fillId="0" borderId="2" xfId="9" applyNumberFormat="1" applyFont="1" applyFill="1" applyBorder="1" applyAlignment="1"/>
    <xf numFmtId="166" fontId="6" fillId="0" borderId="1" xfId="11" applyFont="1" applyFill="1" applyBorder="1"/>
    <xf numFmtId="168" fontId="1" fillId="0" borderId="1" xfId="10" applyFont="1" applyFill="1" applyBorder="1" applyAlignment="1">
      <alignment vertical="center"/>
    </xf>
    <xf numFmtId="168" fontId="6" fillId="0" borderId="1" xfId="12" applyFont="1" applyFill="1" applyBorder="1" applyAlignment="1">
      <alignment vertical="center"/>
    </xf>
    <xf numFmtId="168" fontId="6" fillId="0" borderId="0" xfId="12" applyFont="1" applyFill="1" applyBorder="1" applyAlignment="1">
      <alignment vertical="center"/>
    </xf>
    <xf numFmtId="168" fontId="6" fillId="0" borderId="1" xfId="12" applyFont="1" applyFill="1" applyBorder="1"/>
    <xf numFmtId="165" fontId="8" fillId="2" borderId="0" xfId="5" applyNumberFormat="1" applyFont="1" applyFill="1" applyBorder="1"/>
    <xf numFmtId="4" fontId="6" fillId="0" borderId="0" xfId="6" applyNumberFormat="1" applyFont="1" applyFill="1"/>
    <xf numFmtId="164" fontId="9" fillId="0" borderId="5" xfId="5" applyNumberFormat="1" applyFont="1" applyFill="1" applyBorder="1"/>
    <xf numFmtId="0" fontId="6" fillId="0" borderId="5" xfId="6" applyFont="1" applyFill="1" applyBorder="1"/>
    <xf numFmtId="0" fontId="6" fillId="0" borderId="0" xfId="6" applyFont="1" applyFill="1" applyBorder="1"/>
    <xf numFmtId="4" fontId="6" fillId="0" borderId="1" xfId="6" applyNumberFormat="1" applyFont="1" applyFill="1" applyBorder="1"/>
    <xf numFmtId="164" fontId="9" fillId="2" borderId="1" xfId="5" applyNumberFormat="1" applyFont="1" applyFill="1" applyBorder="1"/>
    <xf numFmtId="49" fontId="6" fillId="0" borderId="1" xfId="8" applyNumberFormat="1" applyFont="1" applyFill="1" applyBorder="1" applyAlignment="1">
      <alignment horizontal="left" vertical="center"/>
    </xf>
    <xf numFmtId="9" fontId="1" fillId="0" borderId="1" xfId="4" applyFont="1" applyFill="1" applyBorder="1"/>
    <xf numFmtId="15" fontId="1" fillId="0" borderId="1" xfId="13" applyNumberFormat="1" applyFont="1" applyFill="1" applyBorder="1" applyAlignment="1">
      <alignment horizontal="center" vertical="center"/>
    </xf>
    <xf numFmtId="49" fontId="6" fillId="0" borderId="1" xfId="14" applyNumberFormat="1" applyFont="1" applyFill="1" applyBorder="1" applyAlignment="1">
      <alignment horizontal="left" vertical="center" wrapText="1"/>
    </xf>
    <xf numFmtId="170" fontId="1" fillId="0" borderId="1" xfId="3" applyNumberFormat="1" applyFont="1" applyFill="1" applyBorder="1" applyAlignment="1">
      <alignment vertical="center"/>
    </xf>
    <xf numFmtId="49" fontId="6" fillId="0" borderId="1" xfId="14" applyNumberFormat="1" applyFont="1" applyFill="1" applyBorder="1" applyAlignment="1">
      <alignment horizontal="left" vertical="center"/>
    </xf>
    <xf numFmtId="168" fontId="6" fillId="0" borderId="1" xfId="10" applyFont="1" applyFill="1" applyBorder="1" applyAlignment="1"/>
    <xf numFmtId="168" fontId="1" fillId="0" borderId="1" xfId="10" applyFont="1" applyFill="1" applyBorder="1" applyAlignment="1"/>
    <xf numFmtId="164" fontId="9" fillId="0" borderId="1" xfId="5" applyNumberFormat="1" applyFont="1" applyFill="1" applyBorder="1" applyAlignment="1"/>
    <xf numFmtId="164" fontId="9" fillId="0" borderId="0" xfId="5" applyNumberFormat="1" applyFont="1" applyFill="1" applyBorder="1" applyAlignment="1"/>
    <xf numFmtId="17" fontId="6" fillId="0" borderId="1" xfId="6" applyNumberFormat="1" applyFont="1" applyFill="1" applyBorder="1"/>
    <xf numFmtId="17" fontId="6" fillId="0" borderId="0" xfId="6" applyNumberFormat="1" applyFont="1" applyFill="1"/>
    <xf numFmtId="42" fontId="6" fillId="3" borderId="0" xfId="3" applyFont="1" applyFill="1"/>
    <xf numFmtId="15" fontId="1" fillId="0" borderId="5" xfId="13" applyNumberFormat="1" applyFont="1" applyFill="1" applyBorder="1" applyAlignment="1">
      <alignment horizontal="center" vertical="center"/>
    </xf>
    <xf numFmtId="49" fontId="6" fillId="0" borderId="6" xfId="14" applyNumberFormat="1" applyFont="1" applyFill="1" applyBorder="1" applyAlignment="1">
      <alignment horizontal="left" vertical="center" wrapText="1"/>
    </xf>
    <xf numFmtId="170" fontId="1" fillId="0" borderId="1" xfId="3" applyNumberFormat="1" applyFont="1" applyFill="1" applyBorder="1" applyAlignment="1">
      <alignment vertical="center" wrapText="1"/>
    </xf>
    <xf numFmtId="0" fontId="6" fillId="0" borderId="5" xfId="6" applyFont="1" applyFill="1" applyBorder="1" applyAlignment="1">
      <alignment horizontal="right"/>
    </xf>
    <xf numFmtId="17" fontId="6" fillId="0" borderId="6" xfId="6" applyNumberFormat="1" applyFont="1" applyFill="1" applyBorder="1" applyAlignment="1">
      <alignment horizontal="right"/>
    </xf>
    <xf numFmtId="42" fontId="6" fillId="0" borderId="6" xfId="3" applyFont="1" applyFill="1" applyBorder="1" applyAlignment="1">
      <alignment horizontal="center"/>
    </xf>
    <xf numFmtId="42" fontId="6" fillId="0" borderId="4" xfId="3" applyFont="1" applyFill="1" applyBorder="1" applyAlignment="1">
      <alignment horizontal="center"/>
    </xf>
    <xf numFmtId="0" fontId="6" fillId="0" borderId="3" xfId="6" applyFont="1" applyFill="1" applyBorder="1" applyAlignment="1">
      <alignment horizontal="center" vertical="center"/>
    </xf>
    <xf numFmtId="17" fontId="6" fillId="0" borderId="3" xfId="6" applyNumberFormat="1" applyFont="1" applyFill="1" applyBorder="1" applyAlignment="1">
      <alignment horizontal="center" vertical="center"/>
    </xf>
    <xf numFmtId="42" fontId="6" fillId="0" borderId="3" xfId="3" applyFont="1" applyFill="1" applyBorder="1" applyAlignment="1">
      <alignment horizontal="center" vertical="center"/>
    </xf>
    <xf numFmtId="0" fontId="6" fillId="3" borderId="1" xfId="6" applyFont="1" applyFill="1" applyBorder="1"/>
    <xf numFmtId="42" fontId="6" fillId="3" borderId="1" xfId="3" applyFont="1" applyFill="1" applyBorder="1"/>
    <xf numFmtId="49" fontId="6" fillId="0" borderId="6" xfId="14" applyNumberFormat="1" applyFont="1" applyFill="1" applyBorder="1" applyAlignment="1">
      <alignment horizontal="left" vertical="center"/>
    </xf>
    <xf numFmtId="0" fontId="3" fillId="0" borderId="1" xfId="6" applyFont="1" applyFill="1" applyBorder="1"/>
    <xf numFmtId="17" fontId="3" fillId="0" borderId="1" xfId="6" applyNumberFormat="1" applyFont="1" applyFill="1" applyBorder="1"/>
    <xf numFmtId="42" fontId="3" fillId="0" borderId="1" xfId="3" applyFont="1" applyFill="1" applyBorder="1"/>
    <xf numFmtId="17" fontId="6" fillId="3" borderId="1" xfId="6" applyNumberFormat="1" applyFont="1" applyFill="1" applyBorder="1"/>
    <xf numFmtId="41" fontId="6" fillId="0" borderId="0" xfId="1" applyFont="1" applyFill="1"/>
    <xf numFmtId="0" fontId="3" fillId="3" borderId="1" xfId="6" applyFont="1" applyFill="1" applyBorder="1"/>
    <xf numFmtId="17" fontId="3" fillId="3" borderId="1" xfId="6" applyNumberFormat="1" applyFont="1" applyFill="1" applyBorder="1"/>
    <xf numFmtId="42" fontId="3" fillId="3" borderId="1" xfId="3" applyFont="1" applyFill="1" applyBorder="1"/>
    <xf numFmtId="0" fontId="6" fillId="3" borderId="1" xfId="6" applyFont="1" applyFill="1" applyBorder="1" applyAlignment="1"/>
    <xf numFmtId="17" fontId="6" fillId="3" borderId="1" xfId="6" applyNumberFormat="1" applyFont="1" applyFill="1" applyBorder="1" applyAlignment="1"/>
    <xf numFmtId="42" fontId="6" fillId="3" borderId="1" xfId="3" applyFont="1" applyFill="1" applyBorder="1" applyAlignment="1"/>
    <xf numFmtId="17" fontId="6" fillId="0" borderId="0" xfId="6" applyNumberFormat="1" applyFont="1" applyFill="1" applyBorder="1"/>
    <xf numFmtId="42" fontId="6" fillId="0" borderId="0" xfId="3" applyFont="1" applyFill="1" applyBorder="1"/>
    <xf numFmtId="0" fontId="6" fillId="0" borderId="1" xfId="6" applyFont="1" applyFill="1" applyBorder="1" applyAlignment="1"/>
    <xf numFmtId="17" fontId="6" fillId="0" borderId="1" xfId="6" applyNumberFormat="1" applyFont="1" applyFill="1" applyBorder="1" applyAlignment="1"/>
    <xf numFmtId="0" fontId="6" fillId="0" borderId="1" xfId="6" applyFont="1" applyBorder="1" applyAlignment="1"/>
    <xf numFmtId="164" fontId="6" fillId="0" borderId="1" xfId="6" applyNumberFormat="1" applyFont="1" applyBorder="1" applyAlignment="1"/>
    <xf numFmtId="4" fontId="6" fillId="0" borderId="0" xfId="6" applyNumberFormat="1" applyFont="1" applyFill="1" applyAlignment="1"/>
    <xf numFmtId="170" fontId="6" fillId="0" borderId="0" xfId="6" applyNumberFormat="1" applyFont="1" applyFill="1" applyAlignment="1"/>
    <xf numFmtId="170" fontId="1" fillId="4" borderId="1" xfId="3" applyNumberFormat="1" applyFont="1" applyFill="1" applyBorder="1" applyAlignment="1">
      <alignment vertical="center"/>
    </xf>
    <xf numFmtId="15" fontId="1" fillId="4" borderId="1" xfId="13" applyNumberFormat="1" applyFont="1" applyFill="1" applyBorder="1" applyAlignment="1">
      <alignment horizontal="center" vertical="center"/>
    </xf>
    <xf numFmtId="0" fontId="6" fillId="0" borderId="1" xfId="8" applyFont="1" applyFill="1" applyBorder="1" applyAlignment="1"/>
    <xf numFmtId="15" fontId="1" fillId="5" borderId="1" xfId="13" applyNumberFormat="1" applyFont="1" applyFill="1" applyBorder="1" applyAlignment="1">
      <alignment horizontal="center" vertical="center"/>
    </xf>
    <xf numFmtId="170" fontId="6" fillId="0" borderId="0" xfId="6" applyNumberFormat="1" applyFont="1" applyFill="1"/>
    <xf numFmtId="44" fontId="6" fillId="0" borderId="0" xfId="6" applyNumberFormat="1" applyFont="1" applyFill="1"/>
    <xf numFmtId="164" fontId="6" fillId="0" borderId="0" xfId="6" applyNumberFormat="1" applyFont="1"/>
    <xf numFmtId="0" fontId="7" fillId="2" borderId="1" xfId="5" applyFont="1" applyFill="1" applyBorder="1" applyAlignment="1"/>
    <xf numFmtId="165" fontId="8" fillId="2" borderId="1" xfId="5" applyNumberFormat="1" applyFont="1" applyFill="1" applyBorder="1" applyAlignment="1"/>
    <xf numFmtId="164" fontId="8" fillId="2" borderId="1" xfId="5" applyNumberFormat="1" applyFont="1" applyFill="1" applyBorder="1" applyAlignment="1"/>
    <xf numFmtId="164" fontId="8" fillId="2" borderId="0" xfId="5" applyNumberFormat="1" applyFont="1" applyFill="1" applyBorder="1" applyAlignment="1"/>
    <xf numFmtId="0" fontId="3" fillId="0" borderId="1" xfId="6" applyFont="1" applyFill="1" applyBorder="1" applyAlignment="1"/>
    <xf numFmtId="17" fontId="3" fillId="0" borderId="1" xfId="6" applyNumberFormat="1" applyFont="1" applyFill="1" applyBorder="1" applyAlignment="1"/>
    <xf numFmtId="42" fontId="3" fillId="0" borderId="1" xfId="3" applyFont="1" applyFill="1" applyBorder="1" applyAlignment="1"/>
    <xf numFmtId="41" fontId="6" fillId="0" borderId="0" xfId="6" applyNumberFormat="1" applyFont="1" applyFill="1" applyAlignment="1"/>
    <xf numFmtId="4" fontId="6" fillId="6" borderId="0" xfId="6" applyNumberFormat="1" applyFont="1" applyFill="1" applyAlignment="1"/>
    <xf numFmtId="17" fontId="6" fillId="0" borderId="5" xfId="6" applyNumberFormat="1" applyFont="1" applyFill="1" applyBorder="1" applyAlignment="1">
      <alignment horizontal="center"/>
    </xf>
    <xf numFmtId="4" fontId="6" fillId="6" borderId="0" xfId="6" applyNumberFormat="1" applyFont="1" applyFill="1"/>
    <xf numFmtId="41" fontId="6" fillId="7" borderId="0" xfId="6" applyNumberFormat="1" applyFont="1" applyFill="1" applyAlignment="1"/>
    <xf numFmtId="41" fontId="6" fillId="3" borderId="0" xfId="6" applyNumberFormat="1" applyFont="1" applyFill="1" applyAlignment="1"/>
    <xf numFmtId="42" fontId="6" fillId="7" borderId="1" xfId="3" applyFont="1" applyFill="1" applyBorder="1" applyAlignment="1"/>
    <xf numFmtId="4" fontId="12" fillId="0" borderId="0" xfId="6" applyNumberFormat="1" applyFont="1" applyFill="1" applyAlignment="1"/>
    <xf numFmtId="41" fontId="6" fillId="8" borderId="0" xfId="6" applyNumberFormat="1" applyFont="1" applyFill="1" applyAlignment="1"/>
    <xf numFmtId="42" fontId="6" fillId="8" borderId="1" xfId="3" applyFont="1" applyFill="1" applyBorder="1" applyAlignment="1"/>
    <xf numFmtId="0" fontId="1" fillId="0" borderId="1" xfId="6" applyFont="1" applyFill="1" applyBorder="1" applyAlignment="1"/>
    <xf numFmtId="17" fontId="1" fillId="0" borderId="1" xfId="6" applyNumberFormat="1" applyFont="1" applyFill="1" applyBorder="1" applyAlignment="1"/>
    <xf numFmtId="42" fontId="1" fillId="0" borderId="1" xfId="3" applyFont="1" applyFill="1" applyBorder="1" applyAlignment="1"/>
    <xf numFmtId="0" fontId="6" fillId="0" borderId="0" xfId="6" applyFont="1" applyFill="1" applyBorder="1" applyAlignment="1"/>
    <xf numFmtId="17" fontId="6" fillId="0" borderId="0" xfId="6" applyNumberFormat="1" applyFont="1" applyFill="1" applyAlignment="1"/>
    <xf numFmtId="42" fontId="1" fillId="3" borderId="1" xfId="3" applyFont="1" applyFill="1" applyBorder="1" applyAlignment="1"/>
    <xf numFmtId="42" fontId="1" fillId="7" borderId="1" xfId="3" applyFont="1" applyFill="1" applyBorder="1" applyAlignment="1"/>
    <xf numFmtId="9" fontId="6" fillId="0" borderId="0" xfId="6" applyNumberFormat="1" applyFont="1" applyFill="1" applyAlignment="1">
      <alignment horizontal="left"/>
    </xf>
    <xf numFmtId="0" fontId="6" fillId="0" borderId="1" xfId="5" applyNumberFormat="1" applyFont="1" applyFill="1" applyBorder="1" applyAlignment="1"/>
    <xf numFmtId="41" fontId="6" fillId="9" borderId="0" xfId="6" applyNumberFormat="1" applyFont="1" applyFill="1" applyAlignment="1"/>
    <xf numFmtId="14" fontId="6" fillId="0" borderId="0" xfId="8" applyNumberFormat="1" applyFont="1"/>
    <xf numFmtId="0" fontId="6" fillId="0" borderId="0" xfId="8" applyFont="1"/>
    <xf numFmtId="170" fontId="6" fillId="3" borderId="0" xfId="6" applyNumberFormat="1" applyFont="1" applyFill="1" applyAlignment="1"/>
    <xf numFmtId="0" fontId="6" fillId="0" borderId="3" xfId="6" applyFont="1" applyFill="1" applyBorder="1" applyAlignment="1">
      <alignment horizontal="center"/>
    </xf>
    <xf numFmtId="17" fontId="6" fillId="0" borderId="1" xfId="6" applyNumberFormat="1" applyFont="1" applyFill="1" applyBorder="1" applyAlignment="1">
      <alignment horizontal="center"/>
    </xf>
    <xf numFmtId="42" fontId="6" fillId="0" borderId="3" xfId="3" applyFont="1" applyFill="1" applyBorder="1" applyAlignment="1">
      <alignment horizontal="center"/>
    </xf>
    <xf numFmtId="0" fontId="6" fillId="7" borderId="0" xfId="6" applyFont="1" applyFill="1"/>
    <xf numFmtId="0" fontId="6" fillId="3" borderId="0" xfId="6" applyFont="1" applyFill="1"/>
    <xf numFmtId="17" fontId="6" fillId="0" borderId="0" xfId="6" applyNumberFormat="1" applyFont="1" applyFill="1" applyBorder="1" applyAlignment="1"/>
    <xf numFmtId="0" fontId="3" fillId="0" borderId="0" xfId="6" applyFont="1" applyFill="1" applyBorder="1"/>
    <xf numFmtId="17" fontId="3" fillId="0" borderId="0" xfId="6" applyNumberFormat="1" applyFont="1" applyFill="1" applyBorder="1" applyAlignment="1"/>
    <xf numFmtId="42" fontId="6" fillId="7" borderId="0" xfId="3" applyFont="1" applyFill="1" applyBorder="1"/>
    <xf numFmtId="42" fontId="6" fillId="3" borderId="0" xfId="3" applyFont="1" applyFill="1" applyBorder="1"/>
    <xf numFmtId="42" fontId="6" fillId="0" borderId="0" xfId="6" applyNumberFormat="1" applyFont="1" applyFill="1"/>
    <xf numFmtId="0" fontId="7" fillId="0" borderId="1" xfId="5" applyFont="1" applyFill="1" applyBorder="1" applyAlignment="1"/>
    <xf numFmtId="165" fontId="8" fillId="0" borderId="1" xfId="5" applyNumberFormat="1" applyFont="1" applyFill="1" applyBorder="1" applyAlignment="1"/>
    <xf numFmtId="164" fontId="8" fillId="0" borderId="1" xfId="5" applyNumberFormat="1" applyFont="1" applyFill="1" applyBorder="1" applyAlignment="1"/>
    <xf numFmtId="164" fontId="8" fillId="0" borderId="0" xfId="5" applyNumberFormat="1" applyFont="1" applyFill="1" applyBorder="1" applyAlignment="1"/>
    <xf numFmtId="49" fontId="1" fillId="0" borderId="1" xfId="14" applyNumberFormat="1" applyFont="1" applyFill="1" applyBorder="1" applyAlignment="1">
      <alignment horizontal="left" vertical="center"/>
    </xf>
    <xf numFmtId="42" fontId="6" fillId="7" borderId="0" xfId="3" applyFont="1" applyFill="1"/>
    <xf numFmtId="0" fontId="3" fillId="0" borderId="0" xfId="6" applyFont="1" applyFill="1"/>
    <xf numFmtId="17" fontId="3" fillId="0" borderId="0" xfId="6" applyNumberFormat="1" applyFont="1" applyFill="1"/>
    <xf numFmtId="164" fontId="7" fillId="2" borderId="1" xfId="5" applyNumberFormat="1" applyFont="1" applyFill="1" applyBorder="1" applyAlignment="1"/>
    <xf numFmtId="0" fontId="6" fillId="10" borderId="0" xfId="6" applyFont="1" applyFill="1"/>
    <xf numFmtId="17" fontId="6" fillId="10" borderId="0" xfId="6" applyNumberFormat="1" applyFont="1" applyFill="1"/>
    <xf numFmtId="42" fontId="6" fillId="10" borderId="0" xfId="3" applyFont="1" applyFill="1"/>
    <xf numFmtId="164" fontId="6" fillId="0" borderId="0" xfId="2" applyFont="1" applyFill="1"/>
    <xf numFmtId="164" fontId="6" fillId="10" borderId="0" xfId="2" applyFont="1" applyFill="1"/>
    <xf numFmtId="49" fontId="6" fillId="3" borderId="1" xfId="14" applyNumberFormat="1" applyFont="1" applyFill="1" applyBorder="1" applyAlignment="1">
      <alignment horizontal="left" vertical="center"/>
    </xf>
    <xf numFmtId="165" fontId="9" fillId="0" borderId="1" xfId="5" applyNumberFormat="1" applyFont="1" applyFill="1" applyBorder="1" applyAlignment="1"/>
    <xf numFmtId="0" fontId="6" fillId="6" borderId="0" xfId="6" applyFont="1" applyFill="1"/>
    <xf numFmtId="0" fontId="6" fillId="0" borderId="0" xfId="6" applyFont="1" applyFill="1" applyAlignment="1">
      <alignment horizontal="left"/>
    </xf>
    <xf numFmtId="42" fontId="9" fillId="0" borderId="1" xfId="3" applyFont="1" applyFill="1" applyBorder="1"/>
    <xf numFmtId="42" fontId="9" fillId="0" borderId="0" xfId="3" applyFont="1" applyFill="1" applyBorder="1"/>
    <xf numFmtId="0" fontId="6" fillId="0" borderId="0" xfId="6" applyFont="1"/>
    <xf numFmtId="168" fontId="6" fillId="0" borderId="2" xfId="10" applyFont="1" applyFill="1" applyBorder="1" applyAlignment="1"/>
    <xf numFmtId="168" fontId="1" fillId="0" borderId="2" xfId="10" applyFont="1" applyFill="1" applyBorder="1" applyAlignment="1"/>
    <xf numFmtId="170" fontId="1" fillId="0" borderId="2" xfId="3" applyNumberFormat="1" applyFont="1" applyFill="1" applyBorder="1" applyAlignment="1">
      <alignment vertical="center"/>
    </xf>
    <xf numFmtId="164" fontId="6" fillId="0" borderId="2" xfId="5" applyNumberFormat="1" applyFont="1" applyFill="1" applyBorder="1" applyAlignment="1"/>
    <xf numFmtId="164" fontId="9" fillId="0" borderId="2" xfId="5" applyNumberFormat="1" applyFont="1" applyFill="1" applyBorder="1" applyAlignment="1"/>
    <xf numFmtId="164" fontId="6" fillId="0" borderId="3" xfId="6" applyNumberFormat="1" applyFont="1" applyBorder="1"/>
    <xf numFmtId="168" fontId="6" fillId="0" borderId="3" xfId="10" applyFont="1" applyFill="1" applyBorder="1" applyAlignment="1"/>
    <xf numFmtId="164" fontId="6" fillId="0" borderId="3" xfId="5" applyNumberFormat="1" applyFont="1" applyFill="1" applyBorder="1" applyAlignment="1"/>
    <xf numFmtId="164" fontId="9" fillId="0" borderId="3" xfId="5" applyNumberFormat="1" applyFont="1" applyFill="1" applyBorder="1" applyAlignment="1"/>
    <xf numFmtId="164" fontId="8" fillId="2" borderId="3" xfId="5" applyNumberFormat="1" applyFont="1" applyFill="1" applyBorder="1" applyAlignment="1"/>
    <xf numFmtId="0" fontId="8" fillId="2" borderId="1" xfId="5" applyFont="1" applyFill="1" applyBorder="1" applyAlignment="1"/>
    <xf numFmtId="42" fontId="6" fillId="9" borderId="0" xfId="6" applyNumberFormat="1" applyFont="1" applyFill="1"/>
    <xf numFmtId="42" fontId="6" fillId="7" borderId="1" xfId="3" applyFont="1" applyFill="1" applyBorder="1"/>
    <xf numFmtId="17" fontId="6" fillId="0" borderId="1" xfId="3" applyNumberFormat="1" applyFont="1" applyFill="1" applyBorder="1"/>
    <xf numFmtId="15" fontId="1" fillId="0" borderId="0" xfId="13" applyNumberFormat="1" applyFont="1" applyFill="1" applyBorder="1" applyAlignment="1">
      <alignment horizontal="center" vertical="center"/>
    </xf>
    <xf numFmtId="49" fontId="6" fillId="0" borderId="0" xfId="14" applyNumberFormat="1" applyFont="1" applyFill="1" applyBorder="1" applyAlignment="1">
      <alignment horizontal="left" vertical="center"/>
    </xf>
    <xf numFmtId="165" fontId="6" fillId="0" borderId="0" xfId="5" applyNumberFormat="1" applyFont="1" applyFill="1" applyBorder="1" applyAlignment="1"/>
    <xf numFmtId="168" fontId="1" fillId="0" borderId="0" xfId="10" applyFont="1" applyFill="1" applyBorder="1" applyAlignment="1"/>
    <xf numFmtId="168" fontId="6" fillId="0" borderId="0" xfId="10" applyFont="1" applyFill="1" applyBorder="1" applyAlignment="1"/>
    <xf numFmtId="44" fontId="6" fillId="0" borderId="0" xfId="6" applyNumberFormat="1" applyFont="1"/>
    <xf numFmtId="42" fontId="6" fillId="3" borderId="0" xfId="3" applyFont="1" applyFill="1" applyAlignment="1"/>
    <xf numFmtId="42" fontId="3" fillId="0" borderId="0" xfId="3" applyFont="1" applyFill="1"/>
    <xf numFmtId="42" fontId="6" fillId="0" borderId="0" xfId="3" applyFont="1" applyFill="1" applyBorder="1" applyAlignment="1"/>
    <xf numFmtId="0" fontId="1" fillId="0" borderId="0" xfId="6" applyFont="1" applyFill="1"/>
    <xf numFmtId="17" fontId="1" fillId="0" borderId="0" xfId="6" applyNumberFormat="1" applyFont="1" applyFill="1"/>
    <xf numFmtId="42" fontId="1" fillId="0" borderId="0" xfId="3" applyFont="1" applyFill="1"/>
    <xf numFmtId="0" fontId="1" fillId="5" borderId="0" xfId="6" applyFont="1" applyFill="1" applyBorder="1"/>
    <xf numFmtId="17" fontId="1" fillId="5" borderId="1" xfId="6" applyNumberFormat="1" applyFont="1" applyFill="1" applyBorder="1" applyAlignment="1"/>
    <xf numFmtId="42" fontId="1" fillId="5" borderId="1" xfId="3" applyFont="1" applyFill="1" applyBorder="1"/>
    <xf numFmtId="42" fontId="1" fillId="5" borderId="0" xfId="3" applyFont="1" applyFill="1" applyBorder="1"/>
    <xf numFmtId="0" fontId="3" fillId="5" borderId="0" xfId="6" applyFont="1" applyFill="1" applyBorder="1"/>
    <xf numFmtId="17" fontId="3" fillId="5" borderId="1" xfId="6" applyNumberFormat="1" applyFont="1" applyFill="1" applyBorder="1" applyAlignment="1"/>
    <xf numFmtId="42" fontId="3" fillId="5" borderId="1" xfId="3" applyFont="1" applyFill="1" applyBorder="1"/>
    <xf numFmtId="0" fontId="6" fillId="5" borderId="0" xfId="6" applyFont="1" applyFill="1" applyBorder="1"/>
    <xf numFmtId="17" fontId="6" fillId="5" borderId="1" xfId="6" applyNumberFormat="1" applyFont="1" applyFill="1" applyBorder="1" applyAlignment="1"/>
    <xf numFmtId="42" fontId="6" fillId="5" borderId="1" xfId="3" applyFont="1" applyFill="1" applyBorder="1"/>
    <xf numFmtId="42" fontId="6" fillId="5" borderId="0" xfId="3" applyFont="1" applyFill="1" applyBorder="1"/>
    <xf numFmtId="17" fontId="6" fillId="5" borderId="0" xfId="6" applyNumberFormat="1" applyFont="1" applyFill="1" applyBorder="1" applyAlignment="1"/>
    <xf numFmtId="171" fontId="13" fillId="0" borderId="1" xfId="15" applyFont="1" applyFill="1" applyBorder="1" applyAlignment="1">
      <alignment vertical="center"/>
    </xf>
    <xf numFmtId="0" fontId="6" fillId="0" borderId="0" xfId="6" applyFont="1" applyFill="1" applyAlignment="1">
      <alignment horizontal="right"/>
    </xf>
    <xf numFmtId="17" fontId="1" fillId="5" borderId="0" xfId="6" applyNumberFormat="1" applyFont="1" applyFill="1" applyBorder="1" applyAlignment="1"/>
    <xf numFmtId="167" fontId="14" fillId="2" borderId="1" xfId="9" applyNumberFormat="1" applyFont="1" applyFill="1" applyBorder="1" applyAlignment="1">
      <alignment horizontal="right"/>
    </xf>
    <xf numFmtId="164" fontId="6" fillId="3" borderId="0" xfId="6" applyNumberFormat="1" applyFont="1" applyFill="1"/>
    <xf numFmtId="0" fontId="6" fillId="0" borderId="5" xfId="6" applyFont="1" applyFill="1" applyBorder="1" applyAlignment="1">
      <alignment horizontal="center"/>
    </xf>
    <xf numFmtId="0" fontId="6" fillId="0" borderId="6" xfId="6" applyFont="1" applyFill="1" applyBorder="1" applyAlignment="1">
      <alignment horizontal="center"/>
    </xf>
    <xf numFmtId="0" fontId="6" fillId="0" borderId="4" xfId="6" applyFont="1" applyFill="1" applyBorder="1" applyAlignment="1">
      <alignment horizontal="center"/>
    </xf>
    <xf numFmtId="0" fontId="6" fillId="0" borderId="7" xfId="6" applyFont="1" applyFill="1" applyBorder="1" applyAlignment="1">
      <alignment horizontal="center"/>
    </xf>
    <xf numFmtId="0" fontId="6" fillId="0" borderId="0" xfId="6" applyFont="1" applyFill="1" applyAlignment="1">
      <alignment horizontal="center"/>
    </xf>
    <xf numFmtId="0" fontId="6" fillId="0" borderId="2" xfId="6" applyFont="1" applyFill="1" applyBorder="1" applyAlignment="1">
      <alignment horizontal="center" vertical="center"/>
    </xf>
    <xf numFmtId="0" fontId="6" fillId="0" borderId="3" xfId="6" applyFont="1" applyFill="1" applyBorder="1" applyAlignment="1">
      <alignment horizontal="center" vertical="center"/>
    </xf>
    <xf numFmtId="17" fontId="6" fillId="0" borderId="2" xfId="6" applyNumberFormat="1" applyFont="1" applyFill="1" applyBorder="1" applyAlignment="1">
      <alignment horizontal="center" vertical="center"/>
    </xf>
    <xf numFmtId="17" fontId="6" fillId="0" borderId="3" xfId="6" applyNumberFormat="1" applyFont="1" applyFill="1" applyBorder="1" applyAlignment="1">
      <alignment horizontal="center" vertical="center"/>
    </xf>
    <xf numFmtId="42" fontId="6" fillId="0" borderId="2" xfId="3" applyFont="1" applyFill="1" applyBorder="1" applyAlignment="1">
      <alignment horizontal="center" vertical="center"/>
    </xf>
    <xf numFmtId="42" fontId="6" fillId="0" borderId="3" xfId="3" applyFont="1" applyFill="1" applyBorder="1" applyAlignment="1">
      <alignment horizontal="center" vertical="center"/>
    </xf>
    <xf numFmtId="0" fontId="3" fillId="0" borderId="2" xfId="6" applyFont="1" applyFill="1" applyBorder="1" applyAlignment="1">
      <alignment horizontal="center" vertical="center"/>
    </xf>
    <xf numFmtId="0" fontId="3" fillId="0" borderId="3" xfId="6" applyFont="1" applyFill="1" applyBorder="1" applyAlignment="1">
      <alignment horizontal="center" vertical="center"/>
    </xf>
    <xf numFmtId="17" fontId="3" fillId="0" borderId="2" xfId="6" applyNumberFormat="1" applyFont="1" applyFill="1" applyBorder="1" applyAlignment="1">
      <alignment horizontal="center" vertical="center"/>
    </xf>
    <xf numFmtId="17" fontId="3" fillId="0" borderId="3" xfId="6" applyNumberFormat="1" applyFont="1" applyFill="1" applyBorder="1" applyAlignment="1">
      <alignment horizontal="center" vertical="center"/>
    </xf>
    <xf numFmtId="42" fontId="3" fillId="0" borderId="2" xfId="3" applyFont="1" applyFill="1" applyBorder="1" applyAlignment="1">
      <alignment horizontal="center" vertical="center"/>
    </xf>
    <xf numFmtId="42" fontId="3" fillId="0" borderId="3" xfId="3" applyFont="1" applyFill="1" applyBorder="1" applyAlignment="1">
      <alignment horizontal="center" vertical="center"/>
    </xf>
    <xf numFmtId="17" fontId="6" fillId="0" borderId="5" xfId="6" applyNumberFormat="1" applyFont="1" applyFill="1" applyBorder="1" applyAlignment="1">
      <alignment horizontal="center"/>
    </xf>
    <xf numFmtId="17" fontId="6" fillId="0" borderId="6" xfId="6" applyNumberFormat="1" applyFont="1" applyFill="1" applyBorder="1" applyAlignment="1">
      <alignment horizontal="center"/>
    </xf>
    <xf numFmtId="17" fontId="6" fillId="0" borderId="4" xfId="6" applyNumberFormat="1" applyFont="1" applyFill="1" applyBorder="1" applyAlignment="1">
      <alignment horizontal="center"/>
    </xf>
    <xf numFmtId="17" fontId="3" fillId="0" borderId="2" xfId="6" applyNumberFormat="1" applyFont="1" applyFill="1" applyBorder="1" applyAlignment="1">
      <alignment horizontal="right" vertical="center"/>
    </xf>
    <xf numFmtId="17" fontId="3" fillId="0" borderId="3" xfId="6" applyNumberFormat="1" applyFont="1" applyFill="1" applyBorder="1" applyAlignment="1">
      <alignment horizontal="right" vertical="center"/>
    </xf>
    <xf numFmtId="0" fontId="6" fillId="0" borderId="2" xfId="6" applyFont="1" applyFill="1" applyBorder="1" applyAlignment="1">
      <alignment horizontal="right" vertical="center"/>
    </xf>
    <xf numFmtId="0" fontId="6" fillId="0" borderId="3" xfId="6" applyFont="1" applyFill="1" applyBorder="1" applyAlignment="1">
      <alignment horizontal="right" vertical="center"/>
    </xf>
    <xf numFmtId="17" fontId="6" fillId="0" borderId="2" xfId="6" applyNumberFormat="1" applyFont="1" applyFill="1" applyBorder="1" applyAlignment="1">
      <alignment horizontal="right" vertical="center"/>
    </xf>
    <xf numFmtId="17" fontId="6" fillId="0" borderId="3" xfId="6" applyNumberFormat="1" applyFont="1" applyFill="1" applyBorder="1" applyAlignment="1">
      <alignment horizontal="right" vertical="center"/>
    </xf>
    <xf numFmtId="42" fontId="6" fillId="0" borderId="2" xfId="3" applyFont="1" applyFill="1" applyBorder="1" applyAlignment="1">
      <alignment horizontal="right" vertical="center"/>
    </xf>
    <xf numFmtId="42" fontId="6" fillId="0" borderId="3" xfId="3" applyFont="1" applyFill="1" applyBorder="1" applyAlignment="1">
      <alignment horizontal="right" vertical="center"/>
    </xf>
    <xf numFmtId="164" fontId="8" fillId="2" borderId="1" xfId="5" applyNumberFormat="1" applyFont="1" applyFill="1" applyBorder="1" applyAlignment="1">
      <alignment horizontal="center"/>
    </xf>
    <xf numFmtId="164" fontId="8" fillId="2" borderId="5" xfId="5" applyNumberFormat="1" applyFont="1" applyFill="1" applyBorder="1" applyAlignment="1">
      <alignment horizontal="center"/>
    </xf>
    <xf numFmtId="164" fontId="8" fillId="2" borderId="6" xfId="5" applyNumberFormat="1" applyFont="1" applyFill="1" applyBorder="1" applyAlignment="1">
      <alignment horizontal="center"/>
    </xf>
    <xf numFmtId="164" fontId="8" fillId="2" borderId="4" xfId="5" applyNumberFormat="1" applyFont="1" applyFill="1" applyBorder="1" applyAlignment="1">
      <alignment horizontal="center"/>
    </xf>
    <xf numFmtId="164" fontId="2" fillId="2" borderId="1" xfId="5" applyNumberFormat="1" applyFont="1" applyFill="1" applyBorder="1" applyAlignment="1">
      <alignment horizontal="center" vertical="center" wrapText="1"/>
    </xf>
    <xf numFmtId="42" fontId="2" fillId="2" borderId="1" xfId="3" applyFont="1" applyFill="1" applyBorder="1" applyAlignment="1">
      <alignment horizontal="center" vertical="center" wrapText="1"/>
    </xf>
    <xf numFmtId="0" fontId="2" fillId="2" borderId="1" xfId="5" applyFont="1" applyFill="1" applyBorder="1" applyAlignment="1">
      <alignment horizontal="center" vertical="center" wrapText="1"/>
    </xf>
    <xf numFmtId="0" fontId="2" fillId="2" borderId="1" xfId="5" applyFont="1" applyFill="1" applyBorder="1" applyAlignment="1">
      <alignment horizontal="center" vertical="center"/>
    </xf>
    <xf numFmtId="0" fontId="4" fillId="2" borderId="2" xfId="5" applyFont="1" applyFill="1" applyBorder="1" applyAlignment="1">
      <alignment horizontal="center" vertical="center"/>
    </xf>
    <xf numFmtId="0" fontId="4" fillId="2" borderId="3" xfId="5" applyFont="1" applyFill="1" applyBorder="1" applyAlignment="1">
      <alignment horizontal="center" vertical="center"/>
    </xf>
    <xf numFmtId="164" fontId="2" fillId="2" borderId="1" xfId="5" applyNumberFormat="1" applyFont="1" applyFill="1" applyBorder="1" applyAlignment="1">
      <alignment horizontal="center" vertical="center"/>
    </xf>
    <xf numFmtId="15" fontId="1" fillId="5" borderId="5" xfId="13" applyNumberFormat="1" applyFont="1" applyFill="1" applyBorder="1" applyAlignment="1">
      <alignment horizontal="center" vertical="center"/>
    </xf>
    <xf numFmtId="49" fontId="6" fillId="0" borderId="2" xfId="14" applyNumberFormat="1" applyFont="1" applyFill="1" applyBorder="1" applyAlignment="1">
      <alignment horizontal="left" vertical="center"/>
    </xf>
    <xf numFmtId="165" fontId="6" fillId="0" borderId="2" xfId="5" applyNumberFormat="1" applyFont="1" applyFill="1" applyBorder="1" applyAlignment="1"/>
    <xf numFmtId="0" fontId="6" fillId="0" borderId="2" xfId="8" applyFont="1" applyFill="1" applyBorder="1" applyAlignment="1"/>
    <xf numFmtId="0" fontId="6" fillId="0" borderId="2" xfId="6" applyFont="1" applyBorder="1"/>
    <xf numFmtId="165" fontId="8" fillId="2" borderId="2" xfId="5" applyNumberFormat="1" applyFont="1" applyFill="1" applyBorder="1" applyAlignment="1"/>
    <xf numFmtId="164" fontId="8" fillId="2" borderId="2" xfId="5" applyNumberFormat="1" applyFont="1" applyFill="1" applyBorder="1" applyAlignment="1"/>
    <xf numFmtId="49" fontId="6" fillId="0" borderId="3" xfId="14" applyNumberFormat="1" applyFont="1" applyFill="1" applyBorder="1" applyAlignment="1">
      <alignment horizontal="left" vertical="center"/>
    </xf>
    <xf numFmtId="165" fontId="6" fillId="0" borderId="3" xfId="5" applyNumberFormat="1" applyFont="1" applyFill="1" applyBorder="1" applyAlignment="1"/>
    <xf numFmtId="170" fontId="1" fillId="0" borderId="3" xfId="3" applyNumberFormat="1" applyFont="1" applyFill="1" applyBorder="1" applyAlignment="1">
      <alignment vertical="center"/>
    </xf>
    <xf numFmtId="168" fontId="1" fillId="0" borderId="3" xfId="10" applyFont="1" applyFill="1" applyBorder="1" applyAlignment="1"/>
    <xf numFmtId="165" fontId="8" fillId="2" borderId="3" xfId="5" applyNumberFormat="1" applyFont="1" applyFill="1" applyBorder="1" applyAlignment="1"/>
    <xf numFmtId="0" fontId="6" fillId="0" borderId="3" xfId="6" applyFont="1" applyBorder="1"/>
    <xf numFmtId="165" fontId="8" fillId="2" borderId="8" xfId="5" applyNumberFormat="1" applyFont="1" applyFill="1" applyBorder="1" applyAlignment="1"/>
    <xf numFmtId="164" fontId="8" fillId="2" borderId="8" xfId="5" applyNumberFormat="1" applyFont="1" applyFill="1" applyBorder="1" applyAlignment="1"/>
    <xf numFmtId="164" fontId="6" fillId="0" borderId="3" xfId="5" applyNumberFormat="1" applyFont="1" applyFill="1" applyBorder="1"/>
    <xf numFmtId="44" fontId="6" fillId="0" borderId="1" xfId="6" applyNumberFormat="1" applyFont="1" applyBorder="1"/>
  </cellXfs>
  <cellStyles count="16">
    <cellStyle name="Cambiar to&amp;do" xfId="5"/>
    <cellStyle name="Millares [0]" xfId="1" builtinId="6"/>
    <cellStyle name="Millares 10 2 3" xfId="11"/>
    <cellStyle name="Millares 20 2" xfId="9"/>
    <cellStyle name="Millares 21 2" xfId="10"/>
    <cellStyle name="Millares 23 2" xfId="12"/>
    <cellStyle name="Moneda" xfId="2" builtinId="4"/>
    <cellStyle name="Moneda [0]" xfId="3" builtinId="7"/>
    <cellStyle name="Moneda [0] 2 2" xfId="15"/>
    <cellStyle name="Normal" xfId="0" builtinId="0"/>
    <cellStyle name="Normal 10 10" xfId="14"/>
    <cellStyle name="Normal 2" xfId="8"/>
    <cellStyle name="Normal 56 2 2" xfId="6"/>
    <cellStyle name="Normal 8" xfId="7"/>
    <cellStyle name="Normal 8 10" xfId="1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GL755%20-%20E.F%20RIESGOS%20LABORALES%20CONTRATO%20530%20DE%202021\01.INFORMES\2022\MARZO\PRESUPUEST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7 - PPTO VIG 2015"/>
      <sheetName val="ANEXO 7 - PPTO VIG 2016"/>
      <sheetName val="ANEXO 7 - PPTO VIG 2017"/>
      <sheetName val="ANEXO 7 - PPTO VIG 2018"/>
      <sheetName val="ANEXO 7 - PPTO VIG 2019"/>
      <sheetName val="ANEXO 7 - PPTO VIG 2020"/>
      <sheetName val="ANEXO 7 - PPTO VIG 2021"/>
      <sheetName val="ANEXO 9-FLUJO DE EGRESOS-19"/>
      <sheetName val="ANEXO 7 - PPTO VIG 2022"/>
      <sheetName val="ANEXO 8 - PAGCONTRATOS"/>
      <sheetName val="ANEXO 9-FLUJO DE EGRESOS-20"/>
      <sheetName val="RESUMEN POR LINEA 2019"/>
      <sheetName val="ANEXO 9-FLUJO DE EGRESOS-18"/>
      <sheetName val="pre"/>
      <sheetName val="RESUMEN POR LINEA 2018"/>
      <sheetName val="ANEXO 9-FLUJO DE EGRESOS-21"/>
      <sheetName val="RESUMEN POR LINEA 2020"/>
      <sheetName val="ANEXO 9-FLUJO DE EGRESOS-22"/>
      <sheetName val="RESUMEN POR LINEA 2021"/>
      <sheetName val="RESUMEN POR LINEA 2022"/>
      <sheetName val="RESUMEN 2021"/>
      <sheetName val="RESUMEN 2018"/>
    </sheetNames>
    <sheetDataSet>
      <sheetData sheetId="0"/>
      <sheetData sheetId="1"/>
      <sheetData sheetId="2">
        <row r="53">
          <cell r="S53">
            <v>0</v>
          </cell>
        </row>
      </sheetData>
      <sheetData sheetId="3">
        <row r="9">
          <cell r="T9">
            <v>0</v>
          </cell>
        </row>
        <row r="10">
          <cell r="T10">
            <v>0</v>
          </cell>
        </row>
        <row r="11">
          <cell r="T11">
            <v>0</v>
          </cell>
        </row>
        <row r="12">
          <cell r="T12">
            <v>0</v>
          </cell>
        </row>
        <row r="13">
          <cell r="T13">
            <v>0</v>
          </cell>
        </row>
        <row r="14">
          <cell r="T14">
            <v>0</v>
          </cell>
        </row>
        <row r="15">
          <cell r="T15">
            <v>0</v>
          </cell>
        </row>
        <row r="16">
          <cell r="T16">
            <v>0</v>
          </cell>
        </row>
        <row r="20">
          <cell r="T20">
            <v>0</v>
          </cell>
        </row>
        <row r="21">
          <cell r="T21">
            <v>0</v>
          </cell>
        </row>
        <row r="22">
          <cell r="T22">
            <v>0</v>
          </cell>
        </row>
        <row r="23">
          <cell r="T23">
            <v>0</v>
          </cell>
        </row>
        <row r="24">
          <cell r="T24">
            <v>0</v>
          </cell>
        </row>
        <row r="25">
          <cell r="T25">
            <v>0.81000000238418579</v>
          </cell>
        </row>
        <row r="29">
          <cell r="T29">
            <v>0</v>
          </cell>
        </row>
        <row r="30">
          <cell r="T30">
            <v>0</v>
          </cell>
        </row>
        <row r="31">
          <cell r="T31">
            <v>0</v>
          </cell>
        </row>
        <row r="32">
          <cell r="T32">
            <v>0</v>
          </cell>
        </row>
        <row r="33">
          <cell r="T33">
            <v>0</v>
          </cell>
        </row>
        <row r="34">
          <cell r="T34">
            <v>0</v>
          </cell>
        </row>
        <row r="35">
          <cell r="T35">
            <v>0</v>
          </cell>
        </row>
        <row r="36">
          <cell r="T36">
            <v>0</v>
          </cell>
        </row>
        <row r="37">
          <cell r="T37">
            <v>0</v>
          </cell>
        </row>
        <row r="38">
          <cell r="T38">
            <v>0</v>
          </cell>
        </row>
        <row r="39">
          <cell r="T39">
            <v>0</v>
          </cell>
        </row>
        <row r="40">
          <cell r="T40">
            <v>0</v>
          </cell>
        </row>
        <row r="41">
          <cell r="T41">
            <v>0</v>
          </cell>
        </row>
        <row r="42">
          <cell r="T42">
            <v>0</v>
          </cell>
        </row>
        <row r="43">
          <cell r="T43">
            <v>0</v>
          </cell>
        </row>
        <row r="44">
          <cell r="T44">
            <v>0</v>
          </cell>
        </row>
        <row r="45">
          <cell r="T45">
            <v>0</v>
          </cell>
        </row>
        <row r="46">
          <cell r="T46">
            <v>0</v>
          </cell>
        </row>
        <row r="47">
          <cell r="T47">
            <v>0</v>
          </cell>
        </row>
        <row r="48">
          <cell r="T48">
            <v>0</v>
          </cell>
        </row>
        <row r="49">
          <cell r="T49">
            <v>0</v>
          </cell>
        </row>
        <row r="52">
          <cell r="T52">
            <v>0</v>
          </cell>
        </row>
        <row r="53">
          <cell r="T53">
            <v>0</v>
          </cell>
        </row>
        <row r="54">
          <cell r="T54">
            <v>0</v>
          </cell>
        </row>
        <row r="57">
          <cell r="T57">
            <v>0</v>
          </cell>
        </row>
        <row r="58">
          <cell r="T58">
            <v>0</v>
          </cell>
        </row>
        <row r="59">
          <cell r="T59">
            <v>0</v>
          </cell>
        </row>
        <row r="60">
          <cell r="T60">
            <v>0</v>
          </cell>
        </row>
        <row r="63">
          <cell r="T63">
            <v>0</v>
          </cell>
        </row>
        <row r="64">
          <cell r="T64">
            <v>0</v>
          </cell>
        </row>
        <row r="65">
          <cell r="T65">
            <v>0</v>
          </cell>
        </row>
        <row r="66">
          <cell r="T66">
            <v>0</v>
          </cell>
        </row>
        <row r="70">
          <cell r="T70">
            <v>0</v>
          </cell>
        </row>
        <row r="71">
          <cell r="T71">
            <v>0</v>
          </cell>
        </row>
        <row r="72">
          <cell r="T72">
            <v>0</v>
          </cell>
        </row>
        <row r="73">
          <cell r="T73">
            <v>0</v>
          </cell>
        </row>
        <row r="74">
          <cell r="T74">
            <v>0</v>
          </cell>
        </row>
        <row r="75">
          <cell r="T75">
            <v>0</v>
          </cell>
        </row>
        <row r="76">
          <cell r="T76">
            <v>0</v>
          </cell>
        </row>
        <row r="77">
          <cell r="T77">
            <v>0</v>
          </cell>
        </row>
        <row r="78">
          <cell r="T78">
            <v>0</v>
          </cell>
        </row>
        <row r="79">
          <cell r="T79">
            <v>0</v>
          </cell>
        </row>
        <row r="80">
          <cell r="T80">
            <v>0</v>
          </cell>
        </row>
        <row r="81">
          <cell r="T81">
            <v>0</v>
          </cell>
        </row>
        <row r="82">
          <cell r="T82">
            <v>0</v>
          </cell>
        </row>
        <row r="86">
          <cell r="S86"/>
        </row>
        <row r="87">
          <cell r="T87">
            <v>0</v>
          </cell>
        </row>
        <row r="88">
          <cell r="T88">
            <v>0</v>
          </cell>
        </row>
        <row r="89">
          <cell r="T89">
            <v>0</v>
          </cell>
        </row>
        <row r="90">
          <cell r="T90">
            <v>0</v>
          </cell>
        </row>
        <row r="91">
          <cell r="T91">
            <v>0</v>
          </cell>
        </row>
        <row r="92">
          <cell r="T92">
            <v>0</v>
          </cell>
        </row>
        <row r="93">
          <cell r="T93">
            <v>0</v>
          </cell>
        </row>
        <row r="94">
          <cell r="T94">
            <v>0</v>
          </cell>
        </row>
      </sheetData>
      <sheetData sheetId="4">
        <row r="9">
          <cell r="T9">
            <v>0</v>
          </cell>
        </row>
        <row r="10">
          <cell r="T10">
            <v>0</v>
          </cell>
        </row>
        <row r="11">
          <cell r="T11">
            <v>0</v>
          </cell>
        </row>
        <row r="12">
          <cell r="T12">
            <v>0</v>
          </cell>
        </row>
        <row r="13">
          <cell r="T13">
            <v>0</v>
          </cell>
        </row>
        <row r="14">
          <cell r="T14">
            <v>0</v>
          </cell>
        </row>
        <row r="15">
          <cell r="T15">
            <v>0</v>
          </cell>
        </row>
        <row r="16">
          <cell r="T16">
            <v>0</v>
          </cell>
        </row>
        <row r="17">
          <cell r="T17">
            <v>0</v>
          </cell>
        </row>
        <row r="18">
          <cell r="T18">
            <v>0</v>
          </cell>
        </row>
        <row r="19">
          <cell r="T19">
            <v>0</v>
          </cell>
        </row>
        <row r="20">
          <cell r="T20">
            <v>0</v>
          </cell>
        </row>
        <row r="21">
          <cell r="T21">
            <v>0</v>
          </cell>
        </row>
        <row r="23">
          <cell r="T23">
            <v>0</v>
          </cell>
        </row>
        <row r="24">
          <cell r="T24">
            <v>0</v>
          </cell>
        </row>
        <row r="32">
          <cell r="T32">
            <v>1.862645149230957E-9</v>
          </cell>
        </row>
        <row r="33">
          <cell r="T33">
            <v>0</v>
          </cell>
        </row>
        <row r="34">
          <cell r="T34">
            <v>0</v>
          </cell>
        </row>
        <row r="35">
          <cell r="T35">
            <v>0</v>
          </cell>
        </row>
        <row r="36">
          <cell r="T36">
            <v>0</v>
          </cell>
        </row>
        <row r="37">
          <cell r="T37">
            <v>0</v>
          </cell>
        </row>
        <row r="38">
          <cell r="T38">
            <v>0</v>
          </cell>
        </row>
        <row r="39">
          <cell r="T39">
            <v>0</v>
          </cell>
        </row>
        <row r="40">
          <cell r="T40">
            <v>0</v>
          </cell>
        </row>
        <row r="41">
          <cell r="T41">
            <v>0</v>
          </cell>
        </row>
        <row r="42">
          <cell r="T42">
            <v>0</v>
          </cell>
        </row>
        <row r="43">
          <cell r="T43">
            <v>0</v>
          </cell>
        </row>
        <row r="44">
          <cell r="T44">
            <v>0</v>
          </cell>
        </row>
        <row r="45">
          <cell r="T45">
            <v>0</v>
          </cell>
        </row>
        <row r="46">
          <cell r="T46">
            <v>0</v>
          </cell>
        </row>
        <row r="55">
          <cell r="T55">
            <v>0</v>
          </cell>
        </row>
        <row r="60">
          <cell r="T60">
            <v>0</v>
          </cell>
        </row>
        <row r="61">
          <cell r="T61">
            <v>0</v>
          </cell>
        </row>
        <row r="62">
          <cell r="T62">
            <v>0</v>
          </cell>
        </row>
        <row r="70">
          <cell r="T70">
            <v>0</v>
          </cell>
        </row>
        <row r="73">
          <cell r="T73">
            <v>0</v>
          </cell>
        </row>
        <row r="74">
          <cell r="T74">
            <v>0</v>
          </cell>
        </row>
        <row r="75">
          <cell r="T75">
            <v>0</v>
          </cell>
        </row>
        <row r="76">
          <cell r="T76">
            <v>0</v>
          </cell>
        </row>
        <row r="77">
          <cell r="T77">
            <v>0</v>
          </cell>
        </row>
        <row r="88">
          <cell r="T88">
            <v>4.8428773880004883E-8</v>
          </cell>
        </row>
        <row r="89">
          <cell r="S89">
            <v>0</v>
          </cell>
        </row>
        <row r="90">
          <cell r="T90">
            <v>0</v>
          </cell>
        </row>
        <row r="91">
          <cell r="T91">
            <v>0</v>
          </cell>
        </row>
        <row r="92">
          <cell r="T92">
            <v>0</v>
          </cell>
        </row>
        <row r="93">
          <cell r="T93">
            <v>0</v>
          </cell>
        </row>
        <row r="94">
          <cell r="T94">
            <v>0</v>
          </cell>
        </row>
        <row r="95">
          <cell r="T95">
            <v>0</v>
          </cell>
        </row>
        <row r="96">
          <cell r="T96">
            <v>0</v>
          </cell>
        </row>
        <row r="97">
          <cell r="T97">
            <v>0</v>
          </cell>
        </row>
      </sheetData>
      <sheetData sheetId="5">
        <row r="9">
          <cell r="T9">
            <v>0</v>
          </cell>
        </row>
        <row r="10">
          <cell r="T10">
            <v>0</v>
          </cell>
        </row>
        <row r="11">
          <cell r="T11">
            <v>0</v>
          </cell>
        </row>
        <row r="12">
          <cell r="T12">
            <v>0</v>
          </cell>
        </row>
        <row r="13">
          <cell r="T13">
            <v>0</v>
          </cell>
        </row>
        <row r="14">
          <cell r="T14">
            <v>0</v>
          </cell>
        </row>
        <row r="15">
          <cell r="T15">
            <v>0</v>
          </cell>
        </row>
        <row r="16">
          <cell r="T16">
            <v>0</v>
          </cell>
        </row>
        <row r="17">
          <cell r="T17">
            <v>0</v>
          </cell>
        </row>
        <row r="18">
          <cell r="T18">
            <v>1</v>
          </cell>
        </row>
        <row r="19">
          <cell r="T19">
            <v>0</v>
          </cell>
        </row>
        <row r="20">
          <cell r="T20">
            <v>0</v>
          </cell>
        </row>
        <row r="21">
          <cell r="T21">
            <v>0</v>
          </cell>
        </row>
        <row r="23">
          <cell r="T23">
            <v>80000000</v>
          </cell>
        </row>
        <row r="24">
          <cell r="T24">
            <v>0</v>
          </cell>
        </row>
        <row r="25">
          <cell r="T25">
            <v>0</v>
          </cell>
        </row>
        <row r="26">
          <cell r="T26">
            <v>0</v>
          </cell>
        </row>
        <row r="32">
          <cell r="T32">
            <v>0</v>
          </cell>
        </row>
        <row r="33">
          <cell r="T33">
            <v>0</v>
          </cell>
        </row>
        <row r="34">
          <cell r="T34">
            <v>0</v>
          </cell>
        </row>
        <row r="35">
          <cell r="T35">
            <v>0</v>
          </cell>
        </row>
        <row r="36">
          <cell r="T36">
            <v>0</v>
          </cell>
        </row>
        <row r="37">
          <cell r="T37">
            <v>0</v>
          </cell>
        </row>
        <row r="38">
          <cell r="T38">
            <v>0</v>
          </cell>
        </row>
        <row r="39">
          <cell r="T39">
            <v>0</v>
          </cell>
        </row>
        <row r="40">
          <cell r="T40">
            <v>0</v>
          </cell>
        </row>
        <row r="41">
          <cell r="T41">
            <v>0</v>
          </cell>
        </row>
        <row r="42">
          <cell r="T42">
            <v>0</v>
          </cell>
        </row>
        <row r="43">
          <cell r="T43">
            <v>0</v>
          </cell>
        </row>
        <row r="44">
          <cell r="T44">
            <v>0</v>
          </cell>
        </row>
        <row r="45">
          <cell r="T45">
            <v>0</v>
          </cell>
        </row>
        <row r="46">
          <cell r="T46">
            <v>0</v>
          </cell>
        </row>
        <row r="47">
          <cell r="T47">
            <v>0</v>
          </cell>
        </row>
        <row r="48">
          <cell r="T48">
            <v>0</v>
          </cell>
        </row>
        <row r="49">
          <cell r="T49">
            <v>0</v>
          </cell>
        </row>
        <row r="50">
          <cell r="T50">
            <v>0</v>
          </cell>
        </row>
        <row r="51">
          <cell r="T51">
            <v>0</v>
          </cell>
        </row>
        <row r="52">
          <cell r="T52">
            <v>0</v>
          </cell>
        </row>
        <row r="53">
          <cell r="T53">
            <v>0</v>
          </cell>
        </row>
        <row r="54">
          <cell r="T54">
            <v>0</v>
          </cell>
        </row>
        <row r="55">
          <cell r="T55">
            <v>0</v>
          </cell>
        </row>
        <row r="56">
          <cell r="T56">
            <v>0</v>
          </cell>
        </row>
        <row r="57">
          <cell r="T57">
            <v>0</v>
          </cell>
        </row>
        <row r="58">
          <cell r="T58">
            <v>0</v>
          </cell>
        </row>
        <row r="59">
          <cell r="T59">
            <v>0</v>
          </cell>
        </row>
        <row r="60">
          <cell r="T60">
            <v>0</v>
          </cell>
        </row>
        <row r="62">
          <cell r="T62">
            <v>0</v>
          </cell>
        </row>
        <row r="63">
          <cell r="T63">
            <v>0</v>
          </cell>
        </row>
        <row r="64">
          <cell r="T64">
            <v>0</v>
          </cell>
        </row>
        <row r="65">
          <cell r="T65">
            <v>0</v>
          </cell>
        </row>
        <row r="67">
          <cell r="T67">
            <v>0</v>
          </cell>
        </row>
        <row r="68">
          <cell r="L68">
            <v>2667218400</v>
          </cell>
          <cell r="T68">
            <v>533443680</v>
          </cell>
        </row>
        <row r="70">
          <cell r="T70">
            <v>0</v>
          </cell>
        </row>
        <row r="71">
          <cell r="T71">
            <v>0</v>
          </cell>
        </row>
        <row r="72">
          <cell r="T72">
            <v>0</v>
          </cell>
        </row>
        <row r="74">
          <cell r="T74">
            <v>0</v>
          </cell>
        </row>
        <row r="81">
          <cell r="T81">
            <v>0</v>
          </cell>
        </row>
        <row r="82">
          <cell r="T82">
            <v>0</v>
          </cell>
        </row>
        <row r="83">
          <cell r="T83">
            <v>0</v>
          </cell>
        </row>
        <row r="84">
          <cell r="T84">
            <v>0</v>
          </cell>
        </row>
        <row r="85">
          <cell r="T85">
            <v>0</v>
          </cell>
        </row>
        <row r="86">
          <cell r="T86">
            <v>0</v>
          </cell>
        </row>
        <row r="87">
          <cell r="T87">
            <v>0</v>
          </cell>
        </row>
        <row r="88">
          <cell r="T88">
            <v>0</v>
          </cell>
        </row>
        <row r="89">
          <cell r="T89">
            <v>0</v>
          </cell>
        </row>
        <row r="90">
          <cell r="T90">
            <v>0</v>
          </cell>
        </row>
        <row r="91">
          <cell r="T91">
            <v>0</v>
          </cell>
        </row>
        <row r="92">
          <cell r="T92">
            <v>0</v>
          </cell>
        </row>
        <row r="93">
          <cell r="T93">
            <v>0</v>
          </cell>
        </row>
        <row r="94">
          <cell r="T94">
            <v>0</v>
          </cell>
        </row>
        <row r="95">
          <cell r="T95">
            <v>0</v>
          </cell>
        </row>
        <row r="96">
          <cell r="T96">
            <v>0</v>
          </cell>
        </row>
        <row r="97">
          <cell r="T97">
            <v>0</v>
          </cell>
        </row>
        <row r="98">
          <cell r="T98">
            <v>0</v>
          </cell>
        </row>
        <row r="99">
          <cell r="T99">
            <v>0</v>
          </cell>
        </row>
        <row r="100">
          <cell r="T100">
            <v>0</v>
          </cell>
        </row>
        <row r="101">
          <cell r="T101">
            <v>0</v>
          </cell>
        </row>
        <row r="102">
          <cell r="T102">
            <v>0</v>
          </cell>
        </row>
        <row r="103">
          <cell r="T103">
            <v>0</v>
          </cell>
        </row>
        <row r="104">
          <cell r="T104">
            <v>0</v>
          </cell>
        </row>
        <row r="105">
          <cell r="T105">
            <v>0</v>
          </cell>
        </row>
        <row r="106">
          <cell r="T106">
            <v>0</v>
          </cell>
        </row>
        <row r="107">
          <cell r="T107">
            <v>0</v>
          </cell>
        </row>
        <row r="108">
          <cell r="T108">
            <v>0</v>
          </cell>
        </row>
        <row r="109">
          <cell r="T109">
            <v>0</v>
          </cell>
        </row>
        <row r="110">
          <cell r="T110">
            <v>0</v>
          </cell>
        </row>
        <row r="111">
          <cell r="T111">
            <v>0</v>
          </cell>
        </row>
        <row r="112">
          <cell r="T112">
            <v>0</v>
          </cell>
        </row>
        <row r="113">
          <cell r="T113">
            <v>0</v>
          </cell>
        </row>
        <row r="114">
          <cell r="T114">
            <v>0</v>
          </cell>
        </row>
        <row r="115">
          <cell r="T115">
            <v>0</v>
          </cell>
        </row>
        <row r="116">
          <cell r="T116">
            <v>0</v>
          </cell>
        </row>
      </sheetData>
      <sheetData sheetId="6">
        <row r="8">
          <cell r="H8" t="str">
            <v>No. CONTRATO</v>
          </cell>
          <cell r="I8" t="str">
            <v>TERCERO</v>
          </cell>
          <cell r="J8" t="str">
            <v>CC O NIT</v>
          </cell>
          <cell r="K8" t="str">
            <v xml:space="preserve">FECHA DE INICIO </v>
          </cell>
          <cell r="L8" t="str">
            <v>FECHA FINAL</v>
          </cell>
          <cell r="M8" t="str">
            <v>SALDO LIBERAR</v>
          </cell>
          <cell r="N8" t="str">
            <v>N° SOLICITUD</v>
          </cell>
          <cell r="O8" t="str">
            <v>VALOR CONTRATO</v>
          </cell>
          <cell r="P8" t="str">
            <v>CDP</v>
          </cell>
          <cell r="Q8" t="str">
            <v>VALOR CDP</v>
          </cell>
          <cell r="R8" t="str">
            <v>RP</v>
          </cell>
          <cell r="S8" t="str">
            <v>VALOR RP</v>
          </cell>
          <cell r="T8" t="str">
            <v>CDP ADICION DESPLAZAMIENTO</v>
          </cell>
          <cell r="U8" t="str">
            <v>RP ADICION DESPLAZAMIENTO</v>
          </cell>
          <cell r="V8" t="str">
            <v>ADICIONES</v>
          </cell>
          <cell r="W8" t="str">
            <v xml:space="preserve">DISMINUCION/ O LIBERADOS </v>
          </cell>
          <cell r="X8" t="str">
            <v>TOTAL COMPROMETIDO
CONTRATO</v>
          </cell>
          <cell r="Y8" t="str">
            <v>SALDOS POR COMPROMETER</v>
          </cell>
          <cell r="Z8" t="str">
            <v>TOTAL PAGOS HONORARIOS</v>
          </cell>
          <cell r="AA8" t="str">
            <v>TOTAL PAGOS DESPLAZAMIENTOS</v>
          </cell>
          <cell r="AB8" t="str">
            <v>SALDO POR CANCELAR CONTRATO</v>
          </cell>
          <cell r="AC8"/>
          <cell r="AD8"/>
        </row>
        <row r="9">
          <cell r="H9">
            <v>232021</v>
          </cell>
          <cell r="I9" t="str">
            <v>JOSE ALBERTO BORBON REYES</v>
          </cell>
          <cell r="J9">
            <v>80392730</v>
          </cell>
          <cell r="K9">
            <v>44209</v>
          </cell>
          <cell r="L9">
            <v>44561</v>
          </cell>
          <cell r="M9">
            <v>566666</v>
          </cell>
          <cell r="N9">
            <v>20</v>
          </cell>
          <cell r="O9">
            <v>197766667</v>
          </cell>
          <cell r="P9" t="str">
            <v>014-21</v>
          </cell>
          <cell r="Q9">
            <v>198333333</v>
          </cell>
          <cell r="R9" t="str">
            <v>013-21</v>
          </cell>
          <cell r="S9">
            <v>197766667</v>
          </cell>
          <cell r="T9"/>
          <cell r="U9"/>
          <cell r="W9"/>
          <cell r="X9">
            <v>197766667</v>
          </cell>
          <cell r="Y9">
            <v>3095452879.2399998</v>
          </cell>
          <cell r="Z9">
            <v>197766667</v>
          </cell>
          <cell r="AA9"/>
          <cell r="AB9">
            <v>0</v>
          </cell>
          <cell r="AC9"/>
          <cell r="AD9"/>
        </row>
        <row r="10">
          <cell r="H10">
            <v>1462021</v>
          </cell>
          <cell r="I10" t="str">
            <v>DEISY JULIETH OCHOA NOGUERA</v>
          </cell>
          <cell r="J10">
            <v>1022937014</v>
          </cell>
          <cell r="K10">
            <v>44224</v>
          </cell>
          <cell r="L10">
            <v>44561</v>
          </cell>
          <cell r="M10">
            <v>180000</v>
          </cell>
          <cell r="N10">
            <v>37</v>
          </cell>
          <cell r="O10">
            <v>67200000</v>
          </cell>
          <cell r="P10" t="str">
            <v>036-21</v>
          </cell>
          <cell r="Q10">
            <v>67380000</v>
          </cell>
          <cell r="R10" t="str">
            <v>033-21</v>
          </cell>
          <cell r="S10">
            <v>67200000</v>
          </cell>
          <cell r="T10"/>
          <cell r="U10"/>
          <cell r="V10"/>
          <cell r="W10">
            <v>36200000</v>
          </cell>
          <cell r="X10">
            <v>31000000</v>
          </cell>
          <cell r="Y10"/>
          <cell r="Z10">
            <v>31000000</v>
          </cell>
          <cell r="AA10"/>
          <cell r="AB10">
            <v>0</v>
          </cell>
          <cell r="AC10"/>
          <cell r="AD10"/>
        </row>
        <row r="11">
          <cell r="H11">
            <v>14620211</v>
          </cell>
          <cell r="I11" t="str">
            <v xml:space="preserve">NICOLAS SERNA ESPITIA </v>
          </cell>
          <cell r="J11">
            <v>80195820</v>
          </cell>
          <cell r="K11">
            <v>44224</v>
          </cell>
          <cell r="L11">
            <v>44561</v>
          </cell>
          <cell r="M11">
            <v>31180000</v>
          </cell>
          <cell r="N11">
            <v>37</v>
          </cell>
          <cell r="O11">
            <v>36200000</v>
          </cell>
          <cell r="P11" t="str">
            <v>036-21</v>
          </cell>
          <cell r="Q11">
            <v>67380000</v>
          </cell>
          <cell r="R11" t="str">
            <v>104-21</v>
          </cell>
          <cell r="S11">
            <v>36200000</v>
          </cell>
          <cell r="T11"/>
          <cell r="U11"/>
          <cell r="V11"/>
          <cell r="W11">
            <v>400000</v>
          </cell>
          <cell r="X11">
            <v>35800000</v>
          </cell>
          <cell r="Y11"/>
          <cell r="Z11">
            <v>35800000</v>
          </cell>
          <cell r="AA11"/>
          <cell r="AB11">
            <v>0</v>
          </cell>
          <cell r="AC11" t="str">
            <v>saldo a liberar</v>
          </cell>
          <cell r="AD11"/>
        </row>
        <row r="12">
          <cell r="H12">
            <v>2252021</v>
          </cell>
          <cell r="I12" t="str">
            <v>GERARDO ALBERTO OCHOA VEGA</v>
          </cell>
          <cell r="J12">
            <v>88032956</v>
          </cell>
          <cell r="K12">
            <v>44236</v>
          </cell>
          <cell r="L12">
            <v>44561</v>
          </cell>
          <cell r="M12">
            <v>0</v>
          </cell>
          <cell r="N12">
            <v>52</v>
          </cell>
          <cell r="O12">
            <v>66000000</v>
          </cell>
          <cell r="P12" t="str">
            <v>050-21</v>
          </cell>
          <cell r="Q12">
            <v>66000000</v>
          </cell>
          <cell r="R12" t="str">
            <v>047-21</v>
          </cell>
          <cell r="S12">
            <v>66000000</v>
          </cell>
          <cell r="T12"/>
          <cell r="U12"/>
          <cell r="V12"/>
          <cell r="W12">
            <v>2000000</v>
          </cell>
          <cell r="X12">
            <v>64000000</v>
          </cell>
          <cell r="Y12"/>
          <cell r="Z12">
            <v>64000000</v>
          </cell>
          <cell r="AA12"/>
          <cell r="AB12">
            <v>0</v>
          </cell>
          <cell r="AC12" t="str">
            <v>saldo a liberar</v>
          </cell>
          <cell r="AD12"/>
        </row>
        <row r="13">
          <cell r="H13">
            <v>2302021</v>
          </cell>
          <cell r="I13" t="str">
            <v>ANGIE NATALIA BUSTOS TRIANA</v>
          </cell>
          <cell r="J13">
            <v>1018462708</v>
          </cell>
          <cell r="K13">
            <v>44235</v>
          </cell>
          <cell r="L13">
            <v>44561</v>
          </cell>
          <cell r="M13">
            <v>11732710</v>
          </cell>
          <cell r="N13">
            <v>53</v>
          </cell>
          <cell r="O13">
            <v>45467290</v>
          </cell>
          <cell r="P13" t="str">
            <v>051-21</v>
          </cell>
          <cell r="Q13">
            <v>57200000</v>
          </cell>
          <cell r="R13" t="str">
            <v>052-21</v>
          </cell>
          <cell r="S13">
            <v>45467290</v>
          </cell>
          <cell r="T13"/>
          <cell r="U13"/>
          <cell r="V13"/>
          <cell r="W13">
            <v>1240017</v>
          </cell>
          <cell r="X13">
            <v>44227273</v>
          </cell>
          <cell r="Y13"/>
          <cell r="Z13">
            <v>44227273</v>
          </cell>
          <cell r="AA13"/>
          <cell r="AB13">
            <v>0</v>
          </cell>
          <cell r="AC13" t="str">
            <v>saldo a liberar</v>
          </cell>
          <cell r="AD13"/>
        </row>
        <row r="14">
          <cell r="H14">
            <v>2452021</v>
          </cell>
          <cell r="I14" t="str">
            <v>LAURA  BORREGO SANCHEZ</v>
          </cell>
          <cell r="J14">
            <v>1076623040</v>
          </cell>
          <cell r="K14">
            <v>44237</v>
          </cell>
          <cell r="L14">
            <v>44561</v>
          </cell>
          <cell r="M14">
            <v>2060000</v>
          </cell>
          <cell r="N14">
            <v>51</v>
          </cell>
          <cell r="O14">
            <v>45320000</v>
          </cell>
          <cell r="P14" t="str">
            <v>049-21</v>
          </cell>
          <cell r="Q14">
            <v>47380000</v>
          </cell>
          <cell r="R14" t="str">
            <v>057-21</v>
          </cell>
          <cell r="S14">
            <v>45320000</v>
          </cell>
          <cell r="T14"/>
          <cell r="U14"/>
          <cell r="V14"/>
          <cell r="W14">
            <v>1510667</v>
          </cell>
          <cell r="X14">
            <v>43809333</v>
          </cell>
          <cell r="Y14"/>
          <cell r="Z14">
            <v>43809333</v>
          </cell>
          <cell r="AA14"/>
          <cell r="AB14">
            <v>0</v>
          </cell>
          <cell r="AC14" t="str">
            <v>saldo a liberar</v>
          </cell>
          <cell r="AD14"/>
        </row>
        <row r="15">
          <cell r="H15">
            <v>2532021</v>
          </cell>
          <cell r="I15" t="str">
            <v>YERY KATHERINE ESGUERRA CARDENAS</v>
          </cell>
          <cell r="J15">
            <v>1019041872</v>
          </cell>
          <cell r="K15">
            <v>44237</v>
          </cell>
          <cell r="L15">
            <v>44561</v>
          </cell>
          <cell r="M15">
            <v>1071200</v>
          </cell>
          <cell r="N15">
            <v>67</v>
          </cell>
          <cell r="O15">
            <v>57130667</v>
          </cell>
          <cell r="P15" t="str">
            <v>068-21</v>
          </cell>
          <cell r="Q15">
            <v>58201867</v>
          </cell>
          <cell r="R15" t="str">
            <v>060-21</v>
          </cell>
          <cell r="S15">
            <v>57130667</v>
          </cell>
          <cell r="T15"/>
          <cell r="U15"/>
          <cell r="V15"/>
          <cell r="W15">
            <v>178534</v>
          </cell>
          <cell r="X15">
            <v>56952133</v>
          </cell>
          <cell r="Y15"/>
          <cell r="Z15">
            <v>56952133</v>
          </cell>
          <cell r="AA15"/>
          <cell r="AB15">
            <v>0</v>
          </cell>
          <cell r="AC15" t="str">
            <v>saldo a liberar</v>
          </cell>
          <cell r="AD15"/>
        </row>
        <row r="16">
          <cell r="H16">
            <v>2552021</v>
          </cell>
          <cell r="I16" t="str">
            <v>LIZZETH GERALDINE TAVERA GONZALEZ</v>
          </cell>
          <cell r="J16">
            <v>1121902034</v>
          </cell>
          <cell r="K16">
            <v>44236</v>
          </cell>
          <cell r="L16">
            <v>44561</v>
          </cell>
          <cell r="M16">
            <v>0</v>
          </cell>
          <cell r="N16">
            <v>75</v>
          </cell>
          <cell r="O16">
            <v>57130667</v>
          </cell>
          <cell r="P16" t="str">
            <v>069-21</v>
          </cell>
          <cell r="Q16">
            <v>57130667</v>
          </cell>
          <cell r="R16" t="str">
            <v>061-21</v>
          </cell>
          <cell r="S16">
            <v>57130667</v>
          </cell>
          <cell r="T16"/>
          <cell r="U16"/>
          <cell r="V16"/>
          <cell r="W16"/>
          <cell r="X16">
            <v>57130667</v>
          </cell>
          <cell r="Y16"/>
          <cell r="Z16">
            <v>57130667</v>
          </cell>
          <cell r="AA16"/>
          <cell r="AB16">
            <v>0</v>
          </cell>
          <cell r="AC16"/>
          <cell r="AD16"/>
        </row>
        <row r="17">
          <cell r="H17">
            <v>2642021</v>
          </cell>
          <cell r="I17" t="str">
            <v>MARIA ALEXANDRA MERLANO MORALES</v>
          </cell>
          <cell r="J17">
            <v>64696432</v>
          </cell>
          <cell r="K17">
            <v>44237</v>
          </cell>
          <cell r="L17">
            <v>44561</v>
          </cell>
          <cell r="M17">
            <v>4720833</v>
          </cell>
          <cell r="N17">
            <v>71</v>
          </cell>
          <cell r="O17">
            <v>60426667</v>
          </cell>
          <cell r="P17" t="str">
            <v>060-21</v>
          </cell>
          <cell r="Q17">
            <v>65147500</v>
          </cell>
          <cell r="R17" t="str">
            <v>067-21</v>
          </cell>
          <cell r="S17">
            <v>60426667</v>
          </cell>
          <cell r="T17"/>
          <cell r="U17"/>
          <cell r="V17"/>
          <cell r="W17">
            <v>188834</v>
          </cell>
          <cell r="X17">
            <v>60237833</v>
          </cell>
          <cell r="Y17"/>
          <cell r="Z17">
            <v>60237833</v>
          </cell>
          <cell r="AA17"/>
          <cell r="AB17">
            <v>0</v>
          </cell>
          <cell r="AC17" t="str">
            <v>saldo a liberar</v>
          </cell>
          <cell r="AD17"/>
        </row>
        <row r="18">
          <cell r="H18">
            <v>2692021</v>
          </cell>
          <cell r="I18" t="str">
            <v>CINDY PAOLA CHACON AMADO</v>
          </cell>
          <cell r="J18">
            <v>1026270081</v>
          </cell>
          <cell r="K18">
            <v>44238</v>
          </cell>
          <cell r="L18">
            <v>44561</v>
          </cell>
          <cell r="M18">
            <v>0</v>
          </cell>
          <cell r="N18">
            <v>58</v>
          </cell>
          <cell r="O18">
            <v>66000000</v>
          </cell>
          <cell r="P18" t="str">
            <v>057-21</v>
          </cell>
          <cell r="Q18">
            <v>66000000</v>
          </cell>
          <cell r="R18" t="str">
            <v>074-21</v>
          </cell>
          <cell r="S18">
            <v>66000000</v>
          </cell>
          <cell r="T18"/>
          <cell r="U18"/>
          <cell r="V18"/>
          <cell r="W18">
            <v>3600000</v>
          </cell>
          <cell r="X18">
            <v>62400000</v>
          </cell>
          <cell r="Y18"/>
          <cell r="Z18">
            <v>62400000</v>
          </cell>
          <cell r="AA18"/>
          <cell r="AB18">
            <v>0</v>
          </cell>
          <cell r="AC18" t="str">
            <v>saldo a liberar</v>
          </cell>
          <cell r="AD18"/>
        </row>
        <row r="19">
          <cell r="H19">
            <v>2622021</v>
          </cell>
          <cell r="I19" t="str">
            <v>FLOR ANGELICA HOWER PEDRAZA</v>
          </cell>
          <cell r="J19">
            <v>52008012</v>
          </cell>
          <cell r="K19">
            <v>44238</v>
          </cell>
          <cell r="L19">
            <v>44561</v>
          </cell>
          <cell r="M19">
            <v>296133</v>
          </cell>
          <cell r="N19">
            <v>50</v>
          </cell>
          <cell r="O19">
            <v>46067600</v>
          </cell>
          <cell r="P19" t="str">
            <v>077-21</v>
          </cell>
          <cell r="Q19">
            <v>46363733</v>
          </cell>
          <cell r="R19" t="str">
            <v>068-21</v>
          </cell>
          <cell r="S19">
            <v>46067600</v>
          </cell>
          <cell r="T19"/>
          <cell r="U19"/>
          <cell r="V19"/>
          <cell r="W19"/>
          <cell r="X19">
            <v>46067600</v>
          </cell>
          <cell r="Y19"/>
          <cell r="Z19">
            <v>46067600</v>
          </cell>
          <cell r="AA19"/>
          <cell r="AB19">
            <v>0</v>
          </cell>
          <cell r="AC19"/>
          <cell r="AD19"/>
        </row>
        <row r="20">
          <cell r="H20">
            <v>1302021</v>
          </cell>
          <cell r="I20" t="str">
            <v>LEONARDO  BUNCH RODRIGUEZ</v>
          </cell>
          <cell r="J20">
            <v>79391505</v>
          </cell>
          <cell r="K20">
            <v>44224</v>
          </cell>
          <cell r="L20">
            <v>44561</v>
          </cell>
          <cell r="M20">
            <v>0</v>
          </cell>
          <cell r="N20">
            <v>48</v>
          </cell>
          <cell r="O20">
            <v>45000000</v>
          </cell>
          <cell r="P20" t="str">
            <v>043-21</v>
          </cell>
          <cell r="Q20">
            <v>45000000</v>
          </cell>
          <cell r="R20" t="str">
            <v>029-21</v>
          </cell>
          <cell r="S20">
            <v>45000000</v>
          </cell>
          <cell r="T20"/>
          <cell r="U20"/>
          <cell r="V20"/>
          <cell r="W20"/>
          <cell r="X20">
            <v>45000000</v>
          </cell>
          <cell r="Y20"/>
          <cell r="Z20">
            <v>45000000</v>
          </cell>
          <cell r="AA20"/>
          <cell r="AB20">
            <v>0</v>
          </cell>
          <cell r="AC20"/>
          <cell r="AD20"/>
        </row>
        <row r="21">
          <cell r="H21">
            <v>2662021</v>
          </cell>
          <cell r="I21" t="str">
            <v>JEIMMY MAGDALY ROJAS BENTACOURT</v>
          </cell>
          <cell r="J21">
            <v>1033735017</v>
          </cell>
          <cell r="K21">
            <v>44238</v>
          </cell>
          <cell r="L21">
            <v>44561</v>
          </cell>
          <cell r="M21">
            <v>0</v>
          </cell>
          <cell r="N21">
            <v>70</v>
          </cell>
          <cell r="O21">
            <v>55791667</v>
          </cell>
          <cell r="P21" t="str">
            <v>074-21</v>
          </cell>
          <cell r="Q21">
            <v>55791667</v>
          </cell>
          <cell r="R21" t="str">
            <v>070-21</v>
          </cell>
          <cell r="S21">
            <v>55791667</v>
          </cell>
          <cell r="T21"/>
          <cell r="U21"/>
          <cell r="V21"/>
          <cell r="W21">
            <v>1201667</v>
          </cell>
          <cell r="X21">
            <v>54590000</v>
          </cell>
          <cell r="Y21"/>
          <cell r="Z21">
            <v>54590000</v>
          </cell>
          <cell r="AA21"/>
          <cell r="AB21">
            <v>0</v>
          </cell>
          <cell r="AC21" t="str">
            <v>saldo a liberar</v>
          </cell>
          <cell r="AD21"/>
        </row>
        <row r="22">
          <cell r="H22">
            <v>2712021</v>
          </cell>
          <cell r="I22" t="str">
            <v>MARIA MARIA GONZALEZ ARISTIZABAL</v>
          </cell>
          <cell r="J22">
            <v>1020788326</v>
          </cell>
          <cell r="K22">
            <v>44238</v>
          </cell>
          <cell r="L22">
            <v>44561</v>
          </cell>
          <cell r="M22">
            <v>0</v>
          </cell>
          <cell r="N22">
            <v>79</v>
          </cell>
          <cell r="O22">
            <v>39991467</v>
          </cell>
          <cell r="P22" t="str">
            <v>078-21</v>
          </cell>
          <cell r="Q22">
            <v>39991467</v>
          </cell>
          <cell r="R22" t="str">
            <v>073-21</v>
          </cell>
          <cell r="S22">
            <v>39991467</v>
          </cell>
          <cell r="T22"/>
          <cell r="U22"/>
          <cell r="V22"/>
          <cell r="W22">
            <v>3999147</v>
          </cell>
          <cell r="X22">
            <v>35992320</v>
          </cell>
          <cell r="Y22"/>
          <cell r="Z22">
            <v>35992320</v>
          </cell>
          <cell r="AA22"/>
          <cell r="AB22">
            <v>0</v>
          </cell>
          <cell r="AC22" t="str">
            <v>saldo a liberar</v>
          </cell>
          <cell r="AD22"/>
        </row>
        <row r="23">
          <cell r="H23">
            <v>2312021</v>
          </cell>
          <cell r="I23" t="str">
            <v>JUAN CARLOS RAMIREZ ROMERO</v>
          </cell>
          <cell r="J23"/>
          <cell r="K23">
            <v>44235</v>
          </cell>
          <cell r="L23">
            <v>44561</v>
          </cell>
          <cell r="M23">
            <v>999787</v>
          </cell>
          <cell r="N23">
            <v>56</v>
          </cell>
          <cell r="O23">
            <v>32393088</v>
          </cell>
          <cell r="P23" t="str">
            <v>056-21</v>
          </cell>
          <cell r="Q23">
            <v>33392875</v>
          </cell>
          <cell r="R23" t="str">
            <v>050-21</v>
          </cell>
          <cell r="S23">
            <v>32393088</v>
          </cell>
          <cell r="T23"/>
          <cell r="U23"/>
          <cell r="V23"/>
          <cell r="W23">
            <v>299936</v>
          </cell>
          <cell r="X23">
            <v>32093152</v>
          </cell>
          <cell r="Y23"/>
          <cell r="Z23">
            <v>32093152</v>
          </cell>
          <cell r="AA23"/>
          <cell r="AB23">
            <v>0</v>
          </cell>
          <cell r="AC23" t="str">
            <v>saldo a liberar</v>
          </cell>
          <cell r="AD23"/>
        </row>
        <row r="24">
          <cell r="H24">
            <v>2352021</v>
          </cell>
          <cell r="I24" t="str">
            <v>MARIA PAULA RODRIGUEZ HERNANDEZ</v>
          </cell>
          <cell r="J24"/>
          <cell r="K24">
            <v>44236</v>
          </cell>
          <cell r="L24">
            <v>44561</v>
          </cell>
          <cell r="M24">
            <v>15958800</v>
          </cell>
          <cell r="N24">
            <v>72</v>
          </cell>
          <cell r="O24">
            <v>41241200</v>
          </cell>
          <cell r="P24" t="str">
            <v>061-21</v>
          </cell>
          <cell r="Q24">
            <v>57200000</v>
          </cell>
          <cell r="R24" t="str">
            <v>051-21</v>
          </cell>
          <cell r="S24">
            <v>41241200</v>
          </cell>
          <cell r="T24"/>
          <cell r="U24"/>
          <cell r="V24"/>
          <cell r="W24">
            <v>1249733</v>
          </cell>
          <cell r="X24">
            <v>39991467</v>
          </cell>
          <cell r="Y24"/>
          <cell r="Z24">
            <v>39991467</v>
          </cell>
          <cell r="AA24"/>
          <cell r="AB24">
            <v>0</v>
          </cell>
          <cell r="AC24" t="str">
            <v>saldo a liberar</v>
          </cell>
          <cell r="AD24"/>
        </row>
        <row r="25">
          <cell r="H25">
            <v>2442021</v>
          </cell>
          <cell r="I25" t="str">
            <v xml:space="preserve">CAMILO ALFONSO CHAPARRO </v>
          </cell>
          <cell r="J25">
            <v>79343199</v>
          </cell>
          <cell r="K25">
            <v>44237</v>
          </cell>
          <cell r="L25">
            <v>44561</v>
          </cell>
          <cell r="M25">
            <v>2666667</v>
          </cell>
          <cell r="N25">
            <v>54</v>
          </cell>
          <cell r="O25">
            <v>85333333</v>
          </cell>
          <cell r="P25" t="str">
            <v>052-21</v>
          </cell>
          <cell r="Q25">
            <v>88000000</v>
          </cell>
          <cell r="R25" t="str">
            <v>059-21</v>
          </cell>
          <cell r="S25">
            <v>85333333</v>
          </cell>
          <cell r="T25"/>
          <cell r="U25"/>
          <cell r="V25"/>
          <cell r="W25"/>
          <cell r="X25">
            <v>85333333</v>
          </cell>
          <cell r="Y25"/>
          <cell r="Z25">
            <v>77066667</v>
          </cell>
          <cell r="AA25"/>
          <cell r="AB25">
            <v>8266666</v>
          </cell>
          <cell r="AC25"/>
          <cell r="AD25"/>
        </row>
        <row r="26">
          <cell r="H26">
            <v>3372021</v>
          </cell>
          <cell r="I26" t="str">
            <v>MARIA ALEJANDRA SANTOS YEPES</v>
          </cell>
          <cell r="J26"/>
          <cell r="K26">
            <v>44253</v>
          </cell>
          <cell r="L26">
            <v>44561</v>
          </cell>
          <cell r="M26">
            <v>2530367</v>
          </cell>
          <cell r="N26">
            <v>82</v>
          </cell>
          <cell r="O26">
            <v>69930133</v>
          </cell>
          <cell r="P26" t="str">
            <v>080-21</v>
          </cell>
          <cell r="Q26">
            <v>72460500</v>
          </cell>
          <cell r="R26" t="str">
            <v>081-21</v>
          </cell>
          <cell r="S26">
            <v>69930133</v>
          </cell>
          <cell r="T26"/>
          <cell r="U26"/>
          <cell r="V26"/>
          <cell r="W26">
            <v>230033</v>
          </cell>
          <cell r="X26">
            <v>69700100</v>
          </cell>
          <cell r="Y26"/>
          <cell r="Z26">
            <v>69700100</v>
          </cell>
          <cell r="AA26"/>
          <cell r="AB26">
            <v>0</v>
          </cell>
          <cell r="AC26" t="str">
            <v>saldo a liberar</v>
          </cell>
          <cell r="AD26"/>
        </row>
        <row r="27">
          <cell r="H27">
            <v>3832021</v>
          </cell>
          <cell r="I27" t="str">
            <v xml:space="preserve">SANDRA JOHANNA NAVIA GOMEZ </v>
          </cell>
          <cell r="J27"/>
          <cell r="K27">
            <v>44279</v>
          </cell>
          <cell r="L27">
            <v>44561</v>
          </cell>
          <cell r="M27">
            <v>3210167</v>
          </cell>
          <cell r="N27">
            <v>85</v>
          </cell>
          <cell r="O27">
            <v>80837833</v>
          </cell>
          <cell r="P27" t="str">
            <v>082-21</v>
          </cell>
          <cell r="Q27">
            <v>84048000</v>
          </cell>
          <cell r="R27" t="str">
            <v>084-21</v>
          </cell>
          <cell r="S27">
            <v>80837833</v>
          </cell>
          <cell r="T27"/>
          <cell r="U27"/>
          <cell r="V27"/>
          <cell r="W27"/>
          <cell r="X27">
            <v>80837833</v>
          </cell>
          <cell r="Y27"/>
          <cell r="Z27">
            <v>80837833</v>
          </cell>
          <cell r="AA27"/>
          <cell r="AB27">
            <v>0</v>
          </cell>
          <cell r="AC27"/>
          <cell r="AD27"/>
        </row>
        <row r="28">
          <cell r="H28">
            <v>3032021</v>
          </cell>
          <cell r="I28" t="str">
            <v xml:space="preserve">KAREN MELISSA REYES MARIN </v>
          </cell>
          <cell r="J28">
            <v>1092912911</v>
          </cell>
          <cell r="K28">
            <v>44245</v>
          </cell>
          <cell r="L28">
            <v>44561</v>
          </cell>
          <cell r="M28">
            <v>0</v>
          </cell>
          <cell r="N28">
            <v>76</v>
          </cell>
          <cell r="O28">
            <v>57130667</v>
          </cell>
          <cell r="P28" t="str">
            <v>070-21</v>
          </cell>
          <cell r="Q28">
            <v>57130667</v>
          </cell>
          <cell r="R28" t="str">
            <v>078-21</v>
          </cell>
          <cell r="S28">
            <v>57130667</v>
          </cell>
          <cell r="T28"/>
          <cell r="U28"/>
          <cell r="V28"/>
          <cell r="W28">
            <v>1606801</v>
          </cell>
          <cell r="X28">
            <v>55523866</v>
          </cell>
          <cell r="Y28"/>
          <cell r="Z28">
            <v>55523866</v>
          </cell>
          <cell r="AA28"/>
          <cell r="AB28">
            <v>0</v>
          </cell>
          <cell r="AC28"/>
          <cell r="AD28"/>
        </row>
        <row r="29">
          <cell r="H29">
            <v>2322021</v>
          </cell>
          <cell r="I29" t="str">
            <v xml:space="preserve">MARIA CLAUDIA ESPAÑA DIAZ </v>
          </cell>
          <cell r="J29"/>
          <cell r="K29">
            <v>44236</v>
          </cell>
          <cell r="L29">
            <v>44561</v>
          </cell>
          <cell r="M29">
            <v>0</v>
          </cell>
          <cell r="N29">
            <v>60</v>
          </cell>
          <cell r="O29">
            <v>90640000</v>
          </cell>
          <cell r="P29" t="str">
            <v>058-21</v>
          </cell>
          <cell r="Q29">
            <v>90640000</v>
          </cell>
          <cell r="R29" t="str">
            <v>053-21</v>
          </cell>
          <cell r="S29">
            <v>90640000</v>
          </cell>
          <cell r="T29"/>
          <cell r="U29"/>
          <cell r="V29"/>
          <cell r="W29">
            <v>2746667</v>
          </cell>
          <cell r="X29">
            <v>87893333</v>
          </cell>
          <cell r="Y29"/>
          <cell r="Z29">
            <v>87893333</v>
          </cell>
          <cell r="AA29"/>
          <cell r="AB29">
            <v>0</v>
          </cell>
          <cell r="AC29" t="str">
            <v>saldo a liberar</v>
          </cell>
          <cell r="AD29"/>
        </row>
        <row r="30">
          <cell r="H30">
            <v>4162021</v>
          </cell>
          <cell r="I30" t="str">
            <v xml:space="preserve">ORGANIZACIÓN IBEROAMERICANA DE SEGURIDAD SOCIAL </v>
          </cell>
          <cell r="J30">
            <v>830002137</v>
          </cell>
          <cell r="K30">
            <v>44308</v>
          </cell>
          <cell r="L30">
            <v>44552</v>
          </cell>
          <cell r="M30">
            <v>0</v>
          </cell>
          <cell r="N30">
            <v>86</v>
          </cell>
          <cell r="O30">
            <v>830368520</v>
          </cell>
          <cell r="P30" t="str">
            <v>084-21</v>
          </cell>
          <cell r="Q30">
            <v>830368520</v>
          </cell>
          <cell r="R30" t="str">
            <v>089-21</v>
          </cell>
          <cell r="S30">
            <v>830368520</v>
          </cell>
          <cell r="T30"/>
          <cell r="U30"/>
          <cell r="V30">
            <v>320000000</v>
          </cell>
          <cell r="W30"/>
          <cell r="X30">
            <v>1150368520</v>
          </cell>
          <cell r="Y30"/>
          <cell r="Z30">
            <v>990368520</v>
          </cell>
          <cell r="AA30"/>
          <cell r="AB30">
            <v>160000000</v>
          </cell>
          <cell r="AC30"/>
          <cell r="AD30"/>
        </row>
        <row r="31">
          <cell r="H31">
            <v>5322021</v>
          </cell>
          <cell r="I31" t="str">
            <v>LEONARDO  BUNCH RODRIGUEZ</v>
          </cell>
          <cell r="J31">
            <v>79391505</v>
          </cell>
          <cell r="K31">
            <v>44405</v>
          </cell>
          <cell r="L31">
            <v>44557</v>
          </cell>
          <cell r="M31">
            <v>0</v>
          </cell>
          <cell r="N31">
            <v>111</v>
          </cell>
          <cell r="O31">
            <v>42848000</v>
          </cell>
          <cell r="P31" t="str">
            <v>109-21</v>
          </cell>
          <cell r="Q31">
            <v>42848000</v>
          </cell>
          <cell r="R31" t="str">
            <v>110-21</v>
          </cell>
          <cell r="S31">
            <v>42848000</v>
          </cell>
          <cell r="T31"/>
          <cell r="U31"/>
          <cell r="V31"/>
          <cell r="W31"/>
          <cell r="X31">
            <v>42848000</v>
          </cell>
          <cell r="Y31"/>
          <cell r="Z31">
            <v>42848000</v>
          </cell>
          <cell r="AA31"/>
          <cell r="AB31">
            <v>0</v>
          </cell>
          <cell r="AC31"/>
          <cell r="AD31"/>
        </row>
        <row r="32">
          <cell r="H32">
            <v>57620212</v>
          </cell>
          <cell r="I32" t="str">
            <v>FUNDACION NUEVO HORIZONTE</v>
          </cell>
          <cell r="J32">
            <v>830503027</v>
          </cell>
          <cell r="K32">
            <v>44449</v>
          </cell>
          <cell r="L32">
            <v>44561</v>
          </cell>
          <cell r="M32">
            <v>0</v>
          </cell>
          <cell r="N32">
            <v>102</v>
          </cell>
          <cell r="O32">
            <v>2000000000</v>
          </cell>
          <cell r="P32" t="str">
            <v>101-21</v>
          </cell>
          <cell r="Q32">
            <v>2000000000</v>
          </cell>
          <cell r="R32" t="str">
            <v>126-21</v>
          </cell>
          <cell r="S32">
            <v>2000000000</v>
          </cell>
          <cell r="T32"/>
          <cell r="U32"/>
          <cell r="V32">
            <v>1695214042</v>
          </cell>
          <cell r="W32"/>
          <cell r="X32">
            <v>3695214042</v>
          </cell>
          <cell r="Y32"/>
          <cell r="Z32">
            <v>2000000000</v>
          </cell>
          <cell r="AA32"/>
          <cell r="AB32">
            <v>1695214042</v>
          </cell>
          <cell r="AC32"/>
          <cell r="AD32"/>
        </row>
        <row r="33">
          <cell r="H33">
            <v>5522021</v>
          </cell>
          <cell r="I33" t="str">
            <v>JULIAN ANDRES VELASCO HERRERA</v>
          </cell>
          <cell r="J33">
            <v>1098645012</v>
          </cell>
          <cell r="K33">
            <v>44428</v>
          </cell>
          <cell r="L33">
            <v>44561</v>
          </cell>
          <cell r="M33">
            <v>1713920</v>
          </cell>
          <cell r="N33">
            <v>120</v>
          </cell>
          <cell r="O33">
            <v>28279680</v>
          </cell>
          <cell r="P33" t="str">
            <v>118-21</v>
          </cell>
          <cell r="Q33">
            <v>29993600</v>
          </cell>
          <cell r="R33" t="str">
            <v>118-21</v>
          </cell>
          <cell r="S33">
            <v>28279680</v>
          </cell>
          <cell r="T33"/>
          <cell r="U33"/>
          <cell r="V33"/>
          <cell r="W33"/>
          <cell r="X33">
            <v>28279680</v>
          </cell>
          <cell r="Y33"/>
          <cell r="Z33">
            <v>28279680</v>
          </cell>
          <cell r="AA33"/>
          <cell r="AB33">
            <v>0</v>
          </cell>
          <cell r="AC33"/>
          <cell r="AD33"/>
        </row>
        <row r="34">
          <cell r="H34">
            <v>6132021</v>
          </cell>
          <cell r="I34" t="str">
            <v>UNIVERSIDAD NACIONAL E COLOMBIA</v>
          </cell>
          <cell r="J34">
            <v>899999063</v>
          </cell>
          <cell r="K34"/>
          <cell r="L34"/>
          <cell r="M34">
            <v>0</v>
          </cell>
          <cell r="N34">
            <v>132</v>
          </cell>
          <cell r="O34">
            <v>100000000</v>
          </cell>
          <cell r="P34" t="str">
            <v>130-21</v>
          </cell>
          <cell r="Q34">
            <v>100000000</v>
          </cell>
          <cell r="R34" t="str">
            <v>130-21</v>
          </cell>
          <cell r="S34">
            <v>100000000</v>
          </cell>
          <cell r="T34"/>
          <cell r="U34"/>
          <cell r="V34"/>
          <cell r="W34"/>
          <cell r="X34">
            <v>100000000</v>
          </cell>
          <cell r="Y34"/>
          <cell r="Z34"/>
          <cell r="AA34"/>
          <cell r="AB34">
            <v>100000000</v>
          </cell>
          <cell r="AC34"/>
          <cell r="AD34"/>
        </row>
        <row r="35">
          <cell r="H35">
            <v>6162021</v>
          </cell>
          <cell r="I35" t="str">
            <v>POSITIVA S.A</v>
          </cell>
          <cell r="J35">
            <v>860011153</v>
          </cell>
          <cell r="K35">
            <v>44484</v>
          </cell>
          <cell r="L35">
            <v>44561</v>
          </cell>
          <cell r="M35">
            <v>0</v>
          </cell>
          <cell r="N35">
            <v>128</v>
          </cell>
          <cell r="O35">
            <v>650000000</v>
          </cell>
          <cell r="P35" t="str">
            <v>126-21</v>
          </cell>
          <cell r="Q35">
            <v>650000000</v>
          </cell>
          <cell r="R35" t="str">
            <v>136-21</v>
          </cell>
          <cell r="S35">
            <v>650000000</v>
          </cell>
          <cell r="T35"/>
          <cell r="U35"/>
          <cell r="V35"/>
          <cell r="W35"/>
          <cell r="X35">
            <v>650000000</v>
          </cell>
          <cell r="Y35"/>
          <cell r="Z35">
            <v>195000000</v>
          </cell>
          <cell r="AA35"/>
          <cell r="AB35">
            <v>455000000</v>
          </cell>
          <cell r="AC35"/>
          <cell r="AD35"/>
        </row>
        <row r="36">
          <cell r="H36">
            <v>6172021</v>
          </cell>
          <cell r="I36" t="str">
            <v>CONSEJO COLOMBIANO DE SEGURIDAD</v>
          </cell>
          <cell r="J36">
            <v>860007378</v>
          </cell>
          <cell r="K36">
            <v>44484</v>
          </cell>
          <cell r="L36">
            <v>44561</v>
          </cell>
          <cell r="M36">
            <v>0</v>
          </cell>
          <cell r="N36">
            <v>126</v>
          </cell>
          <cell r="O36">
            <v>627333691</v>
          </cell>
          <cell r="P36" t="str">
            <v>124-21</v>
          </cell>
          <cell r="Q36">
            <v>627333691</v>
          </cell>
          <cell r="R36" t="str">
            <v>133-21</v>
          </cell>
          <cell r="S36">
            <v>627333691</v>
          </cell>
          <cell r="T36"/>
          <cell r="U36"/>
          <cell r="V36"/>
          <cell r="W36"/>
          <cell r="X36">
            <v>627333691</v>
          </cell>
          <cell r="Y36"/>
          <cell r="Z36">
            <v>564600321</v>
          </cell>
          <cell r="AA36"/>
          <cell r="AB36">
            <v>62733370</v>
          </cell>
          <cell r="AC36"/>
          <cell r="AD36"/>
        </row>
        <row r="37">
          <cell r="H37">
            <v>6632021</v>
          </cell>
          <cell r="I37" t="str">
            <v>ORGANIZACION DE ESTADOS IBEROAMERICANOS PARA LA ED</v>
          </cell>
          <cell r="J37">
            <v>860403137</v>
          </cell>
          <cell r="K37"/>
          <cell r="L37"/>
          <cell r="M37">
            <v>0</v>
          </cell>
          <cell r="N37">
            <v>134</v>
          </cell>
          <cell r="O37">
            <v>2000000000</v>
          </cell>
          <cell r="P37" t="str">
            <v>132-21</v>
          </cell>
          <cell r="Q37">
            <v>2000000000</v>
          </cell>
          <cell r="R37" t="str">
            <v>139-21</v>
          </cell>
          <cell r="S37">
            <v>2000000000</v>
          </cell>
          <cell r="T37"/>
          <cell r="U37"/>
          <cell r="V37"/>
          <cell r="W37"/>
          <cell r="X37">
            <v>2000000000</v>
          </cell>
          <cell r="Y37"/>
          <cell r="Z37"/>
          <cell r="AA37"/>
          <cell r="AB37">
            <v>2000000000</v>
          </cell>
          <cell r="AC37"/>
          <cell r="AD37"/>
        </row>
        <row r="38">
          <cell r="H38">
            <v>6342021</v>
          </cell>
          <cell r="I38" t="str">
            <v>UNIVERSAL GROUP AGENCIA DE COMUNICACIONES SAS</v>
          </cell>
          <cell r="J38">
            <v>900204473</v>
          </cell>
          <cell r="K38">
            <v>44348</v>
          </cell>
          <cell r="L38">
            <v>44561</v>
          </cell>
          <cell r="M38">
            <v>0</v>
          </cell>
          <cell r="N38"/>
          <cell r="O38">
            <v>400000000</v>
          </cell>
          <cell r="P38" t="str">
            <v>91-21</v>
          </cell>
          <cell r="Q38">
            <v>400000000</v>
          </cell>
          <cell r="R38" t="str">
            <v>137-21</v>
          </cell>
          <cell r="S38">
            <v>400000000</v>
          </cell>
          <cell r="T38"/>
          <cell r="U38"/>
          <cell r="V38"/>
          <cell r="W38"/>
          <cell r="X38">
            <v>400000000</v>
          </cell>
          <cell r="Y38"/>
          <cell r="Z38">
            <v>400000000</v>
          </cell>
          <cell r="AA38"/>
          <cell r="AB38">
            <v>0</v>
          </cell>
          <cell r="AC38"/>
          <cell r="AD38"/>
        </row>
        <row r="39">
          <cell r="H39">
            <v>6312021</v>
          </cell>
          <cell r="I39" t="str">
            <v>ORGANIZACIÓN INTERNACIONAL DEL TRABAJO OIT</v>
          </cell>
          <cell r="J39">
            <v>830139206</v>
          </cell>
          <cell r="K39"/>
          <cell r="L39"/>
          <cell r="M39">
            <v>0</v>
          </cell>
          <cell r="N39">
            <v>119</v>
          </cell>
          <cell r="O39">
            <v>1500000000</v>
          </cell>
          <cell r="P39" t="str">
            <v>117-21</v>
          </cell>
          <cell r="Q39">
            <v>1500000000</v>
          </cell>
          <cell r="R39" t="str">
            <v>134-21</v>
          </cell>
          <cell r="S39">
            <v>1500000000</v>
          </cell>
          <cell r="T39"/>
          <cell r="U39"/>
          <cell r="V39"/>
          <cell r="W39"/>
          <cell r="X39">
            <v>1500000000</v>
          </cell>
          <cell r="Y39"/>
          <cell r="Z39">
            <v>1049999982</v>
          </cell>
          <cell r="AA39"/>
          <cell r="AB39">
            <v>450000018</v>
          </cell>
          <cell r="AC39"/>
          <cell r="AD39"/>
        </row>
        <row r="40">
          <cell r="H40"/>
          <cell r="I40"/>
          <cell r="J40"/>
          <cell r="K40"/>
          <cell r="L40"/>
          <cell r="M40"/>
          <cell r="N40"/>
          <cell r="O40">
            <v>9521828837</v>
          </cell>
          <cell r="P40"/>
          <cell r="Q40">
            <v>9600716087</v>
          </cell>
          <cell r="R40"/>
          <cell r="S40">
            <v>9521828837</v>
          </cell>
          <cell r="T40"/>
          <cell r="U40"/>
          <cell r="V40">
            <v>2015214042</v>
          </cell>
          <cell r="W40">
            <v>56652036</v>
          </cell>
          <cell r="X40">
            <v>11480390843</v>
          </cell>
          <cell r="Y40">
            <v>3095452879.2399998</v>
          </cell>
          <cell r="Z40">
            <v>6549176747</v>
          </cell>
          <cell r="AA40">
            <v>0</v>
          </cell>
          <cell r="AB40">
            <v>4931214096</v>
          </cell>
          <cell r="AC40"/>
          <cell r="AD40"/>
        </row>
        <row r="41">
          <cell r="H41">
            <v>6562021</v>
          </cell>
          <cell r="I41" t="str">
            <v>CORPORACION TALENTUM</v>
          </cell>
          <cell r="J41">
            <v>805023202</v>
          </cell>
          <cell r="K41">
            <v>44183</v>
          </cell>
          <cell r="L41">
            <v>44561</v>
          </cell>
          <cell r="M41">
            <v>4</v>
          </cell>
          <cell r="N41">
            <v>93</v>
          </cell>
          <cell r="O41">
            <v>1000000000</v>
          </cell>
          <cell r="P41" t="str">
            <v>04-21 / 092-20</v>
          </cell>
          <cell r="Q41">
            <v>2519256066</v>
          </cell>
          <cell r="R41" t="str">
            <v>001-21 / 090-20</v>
          </cell>
          <cell r="S41">
            <v>2519256066</v>
          </cell>
          <cell r="T41"/>
          <cell r="U41"/>
          <cell r="V41"/>
          <cell r="W41"/>
          <cell r="X41">
            <v>1000000000</v>
          </cell>
          <cell r="Y41">
            <v>11990645.409999847</v>
          </cell>
          <cell r="Z41">
            <v>1000000000</v>
          </cell>
          <cell r="AA41"/>
          <cell r="AB41">
            <v>0</v>
          </cell>
          <cell r="AC41"/>
          <cell r="AD41"/>
        </row>
        <row r="42">
          <cell r="H42">
            <v>4842021</v>
          </cell>
          <cell r="I42" t="str">
            <v>ELVIRA DEL PILAR FORERO HERNANDEZ</v>
          </cell>
          <cell r="J42">
            <v>66822138</v>
          </cell>
          <cell r="K42"/>
          <cell r="L42"/>
          <cell r="M42"/>
          <cell r="N42">
            <v>98</v>
          </cell>
          <cell r="O42">
            <v>109530861</v>
          </cell>
          <cell r="P42" t="str">
            <v>096-21</v>
          </cell>
          <cell r="Q42">
            <v>109530861</v>
          </cell>
          <cell r="R42" t="str">
            <v>095-21</v>
          </cell>
          <cell r="S42">
            <v>109530861</v>
          </cell>
          <cell r="T42"/>
          <cell r="U42"/>
          <cell r="V42"/>
          <cell r="W42">
            <v>11990645</v>
          </cell>
          <cell r="X42">
            <v>97540216</v>
          </cell>
          <cell r="Y42"/>
          <cell r="Z42">
            <v>89530861</v>
          </cell>
          <cell r="AA42">
            <v>8009355</v>
          </cell>
          <cell r="AB42">
            <v>0</v>
          </cell>
          <cell r="AC42" t="str">
            <v>saldo a liberar</v>
          </cell>
          <cell r="AD42"/>
        </row>
        <row r="43">
          <cell r="H43">
            <v>57620211</v>
          </cell>
          <cell r="I43" t="str">
            <v>FUNDACION NUEVO HORIZONTE</v>
          </cell>
          <cell r="J43">
            <v>830503027</v>
          </cell>
          <cell r="K43">
            <v>44449</v>
          </cell>
          <cell r="L43">
            <v>44561</v>
          </cell>
          <cell r="M43"/>
          <cell r="N43">
            <v>102</v>
          </cell>
          <cell r="O43">
            <v>1900633270</v>
          </cell>
          <cell r="P43" t="str">
            <v>101-21</v>
          </cell>
          <cell r="Q43">
            <v>1900633270</v>
          </cell>
          <cell r="R43" t="str">
            <v>126-21</v>
          </cell>
          <cell r="S43">
            <v>1900633270</v>
          </cell>
          <cell r="T43"/>
          <cell r="U43"/>
          <cell r="V43">
            <v>1313459246</v>
          </cell>
          <cell r="W43"/>
          <cell r="X43">
            <v>3214092516</v>
          </cell>
          <cell r="Y43"/>
          <cell r="Z43">
            <v>406938630</v>
          </cell>
          <cell r="AA43"/>
          <cell r="AB43">
            <v>2807153886</v>
          </cell>
          <cell r="AC43"/>
          <cell r="AD43"/>
        </row>
        <row r="44">
          <cell r="H44">
            <v>5782021</v>
          </cell>
          <cell r="I44" t="str">
            <v>UNIVERSIDAD FRANCISCO DE PAULA SANTANDER</v>
          </cell>
          <cell r="J44">
            <v>800163130</v>
          </cell>
          <cell r="K44">
            <v>44462</v>
          </cell>
          <cell r="L44">
            <v>44561</v>
          </cell>
          <cell r="M44">
            <v>0</v>
          </cell>
          <cell r="N44">
            <v>118</v>
          </cell>
          <cell r="O44">
            <v>381597609</v>
          </cell>
          <cell r="P44" t="str">
            <v>116-21</v>
          </cell>
          <cell r="Q44">
            <v>381597609</v>
          </cell>
          <cell r="R44" t="str">
            <v>125-21</v>
          </cell>
          <cell r="S44">
            <v>381597609</v>
          </cell>
          <cell r="T44"/>
          <cell r="U44"/>
          <cell r="V44"/>
          <cell r="W44"/>
          <cell r="X44">
            <v>381597609</v>
          </cell>
          <cell r="Y44"/>
          <cell r="Z44"/>
          <cell r="AA44"/>
          <cell r="AB44">
            <v>381597609</v>
          </cell>
          <cell r="AC44"/>
          <cell r="AD44"/>
        </row>
        <row r="45">
          <cell r="H45">
            <v>5802021</v>
          </cell>
          <cell r="I45" t="str">
            <v>UNIVERSIDAD DE PAMPLONA</v>
          </cell>
          <cell r="J45">
            <v>890501510</v>
          </cell>
          <cell r="K45">
            <v>44460</v>
          </cell>
          <cell r="L45">
            <v>44561</v>
          </cell>
          <cell r="M45"/>
          <cell r="N45">
            <v>117</v>
          </cell>
          <cell r="O45">
            <v>5000000000</v>
          </cell>
          <cell r="P45" t="str">
            <v>115-21</v>
          </cell>
          <cell r="Q45">
            <v>5000000000</v>
          </cell>
          <cell r="R45" t="str">
            <v>124-21</v>
          </cell>
          <cell r="S45">
            <v>5000000000</v>
          </cell>
          <cell r="T45"/>
          <cell r="U45"/>
          <cell r="V45"/>
          <cell r="W45"/>
          <cell r="X45">
            <v>5000000000</v>
          </cell>
          <cell r="Y45"/>
          <cell r="Z45">
            <v>3000000000</v>
          </cell>
          <cell r="AA45"/>
          <cell r="AB45">
            <v>2000000000</v>
          </cell>
          <cell r="AC45"/>
          <cell r="AD45"/>
        </row>
        <row r="46">
          <cell r="H46"/>
          <cell r="I46"/>
          <cell r="J46"/>
          <cell r="K46"/>
          <cell r="L46"/>
          <cell r="M46"/>
          <cell r="N46"/>
          <cell r="O46"/>
          <cell r="P46"/>
          <cell r="Q46"/>
          <cell r="R46"/>
          <cell r="S46"/>
          <cell r="T46"/>
          <cell r="U46"/>
          <cell r="V46"/>
          <cell r="W46"/>
          <cell r="X46">
            <v>0</v>
          </cell>
          <cell r="Y46"/>
          <cell r="Z46"/>
          <cell r="AA46"/>
          <cell r="AB46">
            <v>0</v>
          </cell>
          <cell r="AC46"/>
          <cell r="AD46"/>
        </row>
        <row r="47">
          <cell r="H47"/>
          <cell r="I47"/>
          <cell r="J47"/>
          <cell r="K47"/>
          <cell r="L47"/>
          <cell r="M47"/>
          <cell r="N47"/>
          <cell r="O47"/>
          <cell r="P47"/>
          <cell r="Q47"/>
          <cell r="R47"/>
          <cell r="S47"/>
          <cell r="T47"/>
          <cell r="U47"/>
          <cell r="V47"/>
          <cell r="W47"/>
          <cell r="X47">
            <v>0</v>
          </cell>
          <cell r="Y47"/>
          <cell r="Z47"/>
          <cell r="AA47"/>
          <cell r="AB47">
            <v>0</v>
          </cell>
          <cell r="AC47"/>
          <cell r="AD47"/>
        </row>
        <row r="48">
          <cell r="H48"/>
          <cell r="I48"/>
          <cell r="J48"/>
          <cell r="K48"/>
          <cell r="L48"/>
          <cell r="M48"/>
          <cell r="N48"/>
          <cell r="O48"/>
          <cell r="P48"/>
          <cell r="Q48"/>
          <cell r="R48"/>
          <cell r="S48"/>
          <cell r="T48"/>
          <cell r="U48"/>
          <cell r="V48"/>
          <cell r="W48"/>
          <cell r="X48">
            <v>0</v>
          </cell>
          <cell r="Y48"/>
          <cell r="Z48"/>
          <cell r="AA48"/>
          <cell r="AB48">
            <v>0</v>
          </cell>
          <cell r="AC48"/>
          <cell r="AD48"/>
        </row>
        <row r="49">
          <cell r="H49"/>
          <cell r="I49"/>
          <cell r="J49"/>
          <cell r="K49"/>
          <cell r="L49"/>
          <cell r="M49"/>
          <cell r="N49"/>
          <cell r="O49">
            <v>8391761740</v>
          </cell>
          <cell r="P49"/>
          <cell r="Q49">
            <v>9911017806</v>
          </cell>
          <cell r="R49"/>
          <cell r="S49">
            <v>9911017806</v>
          </cell>
          <cell r="T49"/>
          <cell r="U49"/>
          <cell r="V49">
            <v>1313459246</v>
          </cell>
          <cell r="W49">
            <v>11990645</v>
          </cell>
          <cell r="X49">
            <v>9693230341</v>
          </cell>
          <cell r="Y49">
            <v>11990645.409999847</v>
          </cell>
          <cell r="Z49">
            <v>4496469491</v>
          </cell>
          <cell r="AA49">
            <v>8009355</v>
          </cell>
          <cell r="AB49">
            <v>5188751495</v>
          </cell>
          <cell r="AC49"/>
          <cell r="AD49"/>
        </row>
        <row r="50">
          <cell r="H50">
            <v>312021</v>
          </cell>
          <cell r="I50" t="str">
            <v>WILLIAM ALFREDO SALEME</v>
          </cell>
          <cell r="J50">
            <v>19427573</v>
          </cell>
          <cell r="K50">
            <v>44214</v>
          </cell>
          <cell r="L50">
            <v>44561</v>
          </cell>
          <cell r="M50">
            <v>2403333</v>
          </cell>
          <cell r="N50">
            <v>17</v>
          </cell>
          <cell r="O50">
            <v>82674667</v>
          </cell>
          <cell r="P50" t="str">
            <v>016-21</v>
          </cell>
          <cell r="Q50">
            <v>85078000</v>
          </cell>
          <cell r="R50" t="str">
            <v>015-21</v>
          </cell>
          <cell r="S50">
            <v>82674667</v>
          </cell>
          <cell r="T50"/>
          <cell r="U50"/>
          <cell r="V50"/>
          <cell r="W50"/>
          <cell r="X50">
            <v>82674667</v>
          </cell>
          <cell r="Y50">
            <v>99601326.619999886</v>
          </cell>
          <cell r="Z50">
            <v>82674667</v>
          </cell>
          <cell r="AA50"/>
          <cell r="AB50">
            <v>0</v>
          </cell>
          <cell r="AC50"/>
          <cell r="AD50"/>
        </row>
        <row r="51">
          <cell r="H51">
            <v>352021</v>
          </cell>
          <cell r="I51" t="str">
            <v xml:space="preserve">DIANA MARIA GOMEZ ORTIZ </v>
          </cell>
          <cell r="J51">
            <v>65740812</v>
          </cell>
          <cell r="K51">
            <v>44216</v>
          </cell>
          <cell r="L51">
            <v>44561</v>
          </cell>
          <cell r="M51">
            <v>0</v>
          </cell>
          <cell r="N51"/>
          <cell r="O51">
            <v>27711120</v>
          </cell>
          <cell r="P51" t="str">
            <v>015-21</v>
          </cell>
          <cell r="Q51">
            <v>27711120</v>
          </cell>
          <cell r="R51" t="str">
            <v>017-21</v>
          </cell>
          <cell r="S51">
            <v>27711120</v>
          </cell>
          <cell r="T51"/>
          <cell r="U51"/>
          <cell r="V51"/>
          <cell r="W51">
            <v>939360</v>
          </cell>
          <cell r="X51">
            <v>26771760</v>
          </cell>
          <cell r="Y51"/>
          <cell r="Z51">
            <v>26771760</v>
          </cell>
          <cell r="AA51"/>
          <cell r="AB51">
            <v>0</v>
          </cell>
          <cell r="AC51" t="str">
            <v>saldo a liberar</v>
          </cell>
          <cell r="AD51"/>
        </row>
        <row r="52">
          <cell r="H52">
            <v>502021</v>
          </cell>
          <cell r="I52" t="str">
            <v xml:space="preserve">EDITH ANDREA RAIGOSA </v>
          </cell>
          <cell r="J52">
            <v>43842912</v>
          </cell>
          <cell r="K52">
            <v>44216</v>
          </cell>
          <cell r="L52">
            <v>44561</v>
          </cell>
          <cell r="M52">
            <v>0</v>
          </cell>
          <cell r="N52">
            <v>31</v>
          </cell>
          <cell r="O52">
            <v>73912800</v>
          </cell>
          <cell r="P52" t="str">
            <v>025-21</v>
          </cell>
          <cell r="Q52">
            <v>73912800</v>
          </cell>
          <cell r="R52" t="str">
            <v>019-21</v>
          </cell>
          <cell r="S52">
            <v>73912800</v>
          </cell>
          <cell r="T52"/>
          <cell r="U52"/>
          <cell r="V52"/>
          <cell r="W52">
            <v>642720</v>
          </cell>
          <cell r="X52">
            <v>73270080</v>
          </cell>
          <cell r="Y52"/>
          <cell r="Z52">
            <v>73270080</v>
          </cell>
          <cell r="AA52"/>
          <cell r="AB52">
            <v>0</v>
          </cell>
          <cell r="AC52" t="str">
            <v>saldo a liberar</v>
          </cell>
          <cell r="AD52"/>
        </row>
        <row r="53">
          <cell r="H53">
            <v>652021</v>
          </cell>
          <cell r="I53" t="str">
            <v xml:space="preserve">DIEGO FERNANDO CASTELLANOS </v>
          </cell>
          <cell r="J53">
            <v>80503024</v>
          </cell>
          <cell r="K53">
            <v>44217</v>
          </cell>
          <cell r="L53">
            <v>44561</v>
          </cell>
          <cell r="M53">
            <v>1066667</v>
          </cell>
          <cell r="N53">
            <v>25</v>
          </cell>
          <cell r="O53">
            <v>90933333</v>
          </cell>
          <cell r="P53" t="str">
            <v>022-21</v>
          </cell>
          <cell r="Q53">
            <v>92000000</v>
          </cell>
          <cell r="R53" t="str">
            <v>022-21</v>
          </cell>
          <cell r="S53">
            <v>90933333</v>
          </cell>
          <cell r="T53"/>
          <cell r="U53"/>
          <cell r="V53"/>
          <cell r="W53"/>
          <cell r="X53">
            <v>90933333</v>
          </cell>
          <cell r="Y53"/>
          <cell r="Z53">
            <v>90933333</v>
          </cell>
          <cell r="AA53"/>
          <cell r="AB53">
            <v>0</v>
          </cell>
          <cell r="AC53"/>
          <cell r="AD53"/>
        </row>
        <row r="54">
          <cell r="H54">
            <v>662021</v>
          </cell>
          <cell r="I54" t="str">
            <v xml:space="preserve">LUIS ROBERTO CRUZ GONZALEZ </v>
          </cell>
          <cell r="J54">
            <v>13502444</v>
          </cell>
          <cell r="K54">
            <v>44218</v>
          </cell>
          <cell r="L54">
            <v>44561</v>
          </cell>
          <cell r="M54">
            <v>1208533</v>
          </cell>
          <cell r="N54">
            <v>23</v>
          </cell>
          <cell r="O54">
            <v>103027467</v>
          </cell>
          <cell r="P54" t="str">
            <v>021-21</v>
          </cell>
          <cell r="Q54">
            <v>104236000</v>
          </cell>
          <cell r="R54" t="str">
            <v>021-21</v>
          </cell>
          <cell r="S54">
            <v>103027467</v>
          </cell>
          <cell r="T54" t="str">
            <v>105-21</v>
          </cell>
          <cell r="U54" t="str">
            <v>108-21</v>
          </cell>
          <cell r="V54">
            <v>10000000</v>
          </cell>
          <cell r="W54">
            <v>9529226</v>
          </cell>
          <cell r="X54">
            <v>103498241</v>
          </cell>
          <cell r="Y54"/>
          <cell r="Z54">
            <v>93661333</v>
          </cell>
          <cell r="AA54">
            <v>9836908</v>
          </cell>
          <cell r="AB54">
            <v>0</v>
          </cell>
          <cell r="AC54" t="str">
            <v>saldo a liberar</v>
          </cell>
          <cell r="AD54"/>
        </row>
        <row r="55">
          <cell r="H55">
            <v>802021</v>
          </cell>
          <cell r="I55" t="str">
            <v xml:space="preserve">JAIRO ALBERTO HUERTAS </v>
          </cell>
          <cell r="J55">
            <v>80810388</v>
          </cell>
          <cell r="K55">
            <v>44221</v>
          </cell>
          <cell r="L55">
            <v>44561</v>
          </cell>
          <cell r="M55">
            <v>2901167</v>
          </cell>
          <cell r="N55">
            <v>18</v>
          </cell>
          <cell r="O55">
            <v>76099833</v>
          </cell>
          <cell r="P55" t="str">
            <v>017-21</v>
          </cell>
          <cell r="Q55">
            <v>79001000</v>
          </cell>
          <cell r="R55" t="str">
            <v>024-21</v>
          </cell>
          <cell r="S55">
            <v>76099833</v>
          </cell>
          <cell r="T55"/>
          <cell r="U55"/>
          <cell r="V55"/>
          <cell r="W55">
            <v>892667</v>
          </cell>
          <cell r="X55">
            <v>75207166</v>
          </cell>
          <cell r="Y55"/>
          <cell r="Z55">
            <v>75207166</v>
          </cell>
          <cell r="AA55"/>
          <cell r="AB55">
            <v>0</v>
          </cell>
          <cell r="AC55" t="str">
            <v>saldo a liberar</v>
          </cell>
          <cell r="AD55"/>
        </row>
        <row r="56">
          <cell r="H56">
            <v>1042021</v>
          </cell>
          <cell r="I56" t="str">
            <v xml:space="preserve">JUAN CARLOS CALDERON </v>
          </cell>
          <cell r="J56">
            <v>3180546</v>
          </cell>
          <cell r="K56">
            <v>44221</v>
          </cell>
          <cell r="L56">
            <v>44561</v>
          </cell>
          <cell r="M56">
            <v>0</v>
          </cell>
          <cell r="N56"/>
          <cell r="O56">
            <v>104236000</v>
          </cell>
          <cell r="P56" t="str">
            <v>024-21</v>
          </cell>
          <cell r="Q56">
            <v>104236000</v>
          </cell>
          <cell r="R56" t="str">
            <v>026-21</v>
          </cell>
          <cell r="S56">
            <v>104236000</v>
          </cell>
          <cell r="T56"/>
          <cell r="U56"/>
          <cell r="V56"/>
          <cell r="W56">
            <v>2719200</v>
          </cell>
          <cell r="X56">
            <v>101516800</v>
          </cell>
          <cell r="Y56"/>
          <cell r="Z56">
            <v>101516800</v>
          </cell>
          <cell r="AA56"/>
          <cell r="AB56">
            <v>0</v>
          </cell>
          <cell r="AC56" t="str">
            <v>saldo a liberar</v>
          </cell>
          <cell r="AD56"/>
        </row>
        <row r="57">
          <cell r="H57">
            <v>1162021</v>
          </cell>
          <cell r="I57" t="str">
            <v>YENNY ISABEL PRIETO ROJAS</v>
          </cell>
          <cell r="J57">
            <v>52279630</v>
          </cell>
          <cell r="K57">
            <v>44223</v>
          </cell>
          <cell r="L57">
            <v>44561</v>
          </cell>
          <cell r="M57">
            <v>4124120</v>
          </cell>
          <cell r="N57">
            <v>47</v>
          </cell>
          <cell r="O57">
            <v>37117080</v>
          </cell>
          <cell r="P57" t="str">
            <v>037-21</v>
          </cell>
          <cell r="Q57">
            <v>41241200</v>
          </cell>
          <cell r="R57" t="str">
            <v>028-21</v>
          </cell>
          <cell r="S57">
            <v>37117080</v>
          </cell>
          <cell r="T57"/>
          <cell r="U57"/>
          <cell r="V57"/>
          <cell r="W57"/>
          <cell r="X57">
            <v>37117080</v>
          </cell>
          <cell r="Y57"/>
          <cell r="Z57">
            <v>37117080</v>
          </cell>
          <cell r="AA57"/>
          <cell r="AB57">
            <v>0</v>
          </cell>
          <cell r="AC57"/>
          <cell r="AD57"/>
        </row>
        <row r="58">
          <cell r="H58">
            <v>1822021</v>
          </cell>
          <cell r="I58" t="str">
            <v>LUIS ALBERTO MORENO ANGARITA</v>
          </cell>
          <cell r="J58">
            <v>79684016</v>
          </cell>
          <cell r="K58">
            <v>44229</v>
          </cell>
          <cell r="L58">
            <v>44561</v>
          </cell>
          <cell r="M58">
            <v>0</v>
          </cell>
          <cell r="N58">
            <v>44</v>
          </cell>
          <cell r="O58">
            <v>58916000</v>
          </cell>
          <cell r="P58" t="str">
            <v>042-21</v>
          </cell>
          <cell r="Q58">
            <v>58916000</v>
          </cell>
          <cell r="R58" t="str">
            <v>041-21</v>
          </cell>
          <cell r="S58">
            <v>58916000</v>
          </cell>
          <cell r="T58"/>
          <cell r="U58"/>
          <cell r="V58"/>
          <cell r="W58">
            <v>535600</v>
          </cell>
          <cell r="X58">
            <v>58380400</v>
          </cell>
          <cell r="Y58"/>
          <cell r="Z58">
            <v>58380400</v>
          </cell>
          <cell r="AA58"/>
          <cell r="AB58">
            <v>0</v>
          </cell>
          <cell r="AC58" t="str">
            <v>saldo a liberar</v>
          </cell>
          <cell r="AD58"/>
        </row>
        <row r="59">
          <cell r="H59">
            <v>2372021</v>
          </cell>
          <cell r="I59" t="str">
            <v>ANLLY BIVIANA MORA CASTELLANOS</v>
          </cell>
          <cell r="J59">
            <v>1075672698</v>
          </cell>
          <cell r="K59">
            <v>44235</v>
          </cell>
          <cell r="L59">
            <v>44561</v>
          </cell>
          <cell r="M59">
            <v>1646667</v>
          </cell>
          <cell r="N59">
            <v>55</v>
          </cell>
          <cell r="O59">
            <v>40660000</v>
          </cell>
          <cell r="P59" t="str">
            <v>053-21</v>
          </cell>
          <cell r="Q59">
            <v>42306667</v>
          </cell>
          <cell r="R59" t="str">
            <v>054-21</v>
          </cell>
          <cell r="S59">
            <v>40660000</v>
          </cell>
          <cell r="T59"/>
          <cell r="U59"/>
          <cell r="V59"/>
          <cell r="W59"/>
          <cell r="X59">
            <v>40660000</v>
          </cell>
          <cell r="Y59"/>
          <cell r="Z59">
            <v>40660000</v>
          </cell>
          <cell r="AA59"/>
          <cell r="AB59">
            <v>0</v>
          </cell>
          <cell r="AC59"/>
          <cell r="AD59"/>
        </row>
        <row r="60">
          <cell r="H60">
            <v>2632021</v>
          </cell>
          <cell r="I60" t="str">
            <v>JOANETH MELISSA COCA DELGADILLO</v>
          </cell>
          <cell r="J60">
            <v>52800370</v>
          </cell>
          <cell r="K60">
            <v>44237</v>
          </cell>
          <cell r="L60">
            <v>44561</v>
          </cell>
          <cell r="M60">
            <v>201867</v>
          </cell>
          <cell r="N60">
            <v>68</v>
          </cell>
          <cell r="O60">
            <v>53000000</v>
          </cell>
          <cell r="P60" t="str">
            <v>076-21</v>
          </cell>
          <cell r="Q60">
            <v>53201867</v>
          </cell>
          <cell r="R60" t="str">
            <v>069-21</v>
          </cell>
          <cell r="S60">
            <v>53000000</v>
          </cell>
          <cell r="T60"/>
          <cell r="U60"/>
          <cell r="V60">
            <v>3533333</v>
          </cell>
          <cell r="W60">
            <v>353333</v>
          </cell>
          <cell r="X60">
            <v>56180000</v>
          </cell>
          <cell r="Y60"/>
          <cell r="Z60">
            <v>56180000</v>
          </cell>
          <cell r="AA60"/>
          <cell r="AB60">
            <v>0</v>
          </cell>
          <cell r="AC60" t="str">
            <v>saldo a liberar</v>
          </cell>
          <cell r="AD60"/>
        </row>
        <row r="61">
          <cell r="H61">
            <v>1802021</v>
          </cell>
          <cell r="I61" t="str">
            <v>DUVIER ALFONSO LOPEZ ORTIZ</v>
          </cell>
          <cell r="J61">
            <v>80250540</v>
          </cell>
          <cell r="K61">
            <v>44241</v>
          </cell>
          <cell r="L61">
            <v>44561</v>
          </cell>
          <cell r="M61">
            <v>1499680</v>
          </cell>
          <cell r="N61">
            <v>41</v>
          </cell>
          <cell r="O61">
            <v>70699200</v>
          </cell>
          <cell r="P61" t="str">
            <v>046-21</v>
          </cell>
          <cell r="Q61">
            <v>72198880</v>
          </cell>
          <cell r="R61" t="str">
            <v>040-21</v>
          </cell>
          <cell r="S61">
            <v>70699200</v>
          </cell>
          <cell r="T61"/>
          <cell r="U61"/>
          <cell r="V61"/>
          <cell r="W61">
            <v>1071200</v>
          </cell>
          <cell r="X61">
            <v>69628000</v>
          </cell>
          <cell r="Y61"/>
          <cell r="Z61">
            <v>69628000</v>
          </cell>
          <cell r="AA61"/>
          <cell r="AB61">
            <v>0</v>
          </cell>
          <cell r="AC61" t="str">
            <v>saldo a liberar</v>
          </cell>
          <cell r="AD61"/>
        </row>
        <row r="62">
          <cell r="H62">
            <v>1922021</v>
          </cell>
          <cell r="I62" t="str">
            <v>BETTY ESPERANZA HERRERA GARCIA</v>
          </cell>
          <cell r="J62">
            <v>51734389</v>
          </cell>
          <cell r="K62">
            <v>44230</v>
          </cell>
          <cell r="L62">
            <v>44561</v>
          </cell>
          <cell r="M62">
            <v>0</v>
          </cell>
          <cell r="N62">
            <v>46</v>
          </cell>
          <cell r="O62">
            <v>79310000</v>
          </cell>
          <cell r="P62" t="str">
            <v>045-21</v>
          </cell>
          <cell r="Q62">
            <v>79310000</v>
          </cell>
          <cell r="R62" t="str">
            <v>042-21</v>
          </cell>
          <cell r="S62">
            <v>79310000</v>
          </cell>
          <cell r="T62"/>
          <cell r="U62"/>
          <cell r="V62"/>
          <cell r="W62">
            <v>961333</v>
          </cell>
          <cell r="X62">
            <v>78348667</v>
          </cell>
          <cell r="Y62"/>
          <cell r="Z62">
            <v>78348667</v>
          </cell>
          <cell r="AA62"/>
          <cell r="AB62">
            <v>0</v>
          </cell>
          <cell r="AC62" t="str">
            <v>saldo a liberar</v>
          </cell>
          <cell r="AD62"/>
        </row>
        <row r="63">
          <cell r="H63">
            <v>1722021</v>
          </cell>
          <cell r="I63" t="str">
            <v>PEREZ BLEIDY</v>
          </cell>
          <cell r="J63">
            <v>32675115</v>
          </cell>
          <cell r="K63">
            <v>44228</v>
          </cell>
          <cell r="L63">
            <v>44561</v>
          </cell>
          <cell r="M63">
            <v>2042833</v>
          </cell>
          <cell r="N63">
            <v>38</v>
          </cell>
          <cell r="O63">
            <v>96305000</v>
          </cell>
          <cell r="P63" t="str">
            <v>034-21</v>
          </cell>
          <cell r="Q63">
            <v>98347833</v>
          </cell>
          <cell r="R63" t="str">
            <v>039-21</v>
          </cell>
          <cell r="S63">
            <v>96305000</v>
          </cell>
          <cell r="T63"/>
          <cell r="U63"/>
          <cell r="V63"/>
          <cell r="W63">
            <v>70040000</v>
          </cell>
          <cell r="X63">
            <v>26265000</v>
          </cell>
          <cell r="Y63"/>
          <cell r="Z63">
            <v>26265000</v>
          </cell>
          <cell r="AA63"/>
          <cell r="AB63">
            <v>0</v>
          </cell>
          <cell r="AC63"/>
          <cell r="AD63"/>
        </row>
        <row r="64">
          <cell r="H64">
            <v>2262021</v>
          </cell>
          <cell r="I64" t="str">
            <v>FANNY MERCEDES TORRES LOPEZ</v>
          </cell>
          <cell r="J64">
            <v>40773807</v>
          </cell>
          <cell r="K64">
            <v>44229</v>
          </cell>
          <cell r="L64">
            <v>44561</v>
          </cell>
          <cell r="M64">
            <v>1442000</v>
          </cell>
          <cell r="N64">
            <v>42</v>
          </cell>
          <cell r="O64">
            <v>77868000</v>
          </cell>
          <cell r="P64" t="str">
            <v>040-21</v>
          </cell>
          <cell r="Q64">
            <v>79310000</v>
          </cell>
          <cell r="R64" t="str">
            <v>048-21</v>
          </cell>
          <cell r="S64">
            <v>77868000</v>
          </cell>
          <cell r="T64"/>
          <cell r="U64"/>
          <cell r="V64"/>
          <cell r="W64">
            <v>961334</v>
          </cell>
          <cell r="X64">
            <v>76906666</v>
          </cell>
          <cell r="Y64"/>
          <cell r="Z64">
            <v>76906666</v>
          </cell>
          <cell r="AA64"/>
          <cell r="AB64">
            <v>0</v>
          </cell>
          <cell r="AC64" t="str">
            <v>saldo a liberar</v>
          </cell>
          <cell r="AD64"/>
        </row>
        <row r="65">
          <cell r="H65">
            <v>1832021</v>
          </cell>
          <cell r="I65" t="str">
            <v>JAVIER MANUEL PALACIO MEJIA</v>
          </cell>
          <cell r="J65">
            <v>79722926</v>
          </cell>
          <cell r="K65">
            <v>44228</v>
          </cell>
          <cell r="L65">
            <v>44561</v>
          </cell>
          <cell r="M65">
            <v>0</v>
          </cell>
          <cell r="N65">
            <v>49</v>
          </cell>
          <cell r="O65">
            <v>115500000</v>
          </cell>
          <cell r="P65" t="str">
            <v>047-21</v>
          </cell>
          <cell r="Q65">
            <v>115500000</v>
          </cell>
          <cell r="R65" t="str">
            <v>045-21</v>
          </cell>
          <cell r="S65">
            <v>115500000</v>
          </cell>
          <cell r="T65"/>
          <cell r="U65"/>
          <cell r="V65"/>
          <cell r="W65">
            <v>1750000</v>
          </cell>
          <cell r="X65">
            <v>113750000</v>
          </cell>
          <cell r="Y65"/>
          <cell r="Z65">
            <v>113750000</v>
          </cell>
          <cell r="AA65"/>
          <cell r="AB65">
            <v>0</v>
          </cell>
          <cell r="AC65" t="str">
            <v>saldo a liberar</v>
          </cell>
          <cell r="AD65"/>
        </row>
        <row r="66">
          <cell r="H66">
            <v>3692021</v>
          </cell>
          <cell r="I66" t="str">
            <v>MARTHA LILIANA SALGADO BEJARANO</v>
          </cell>
          <cell r="J66">
            <v>1121853040</v>
          </cell>
          <cell r="K66">
            <v>44274</v>
          </cell>
          <cell r="L66">
            <v>44545</v>
          </cell>
          <cell r="M66">
            <v>0</v>
          </cell>
          <cell r="N66">
            <v>83</v>
          </cell>
          <cell r="O66">
            <v>30368520</v>
          </cell>
          <cell r="P66" t="str">
            <v>081-21</v>
          </cell>
          <cell r="Q66">
            <v>30368520</v>
          </cell>
          <cell r="R66" t="str">
            <v>082-21</v>
          </cell>
          <cell r="S66">
            <v>30368520</v>
          </cell>
          <cell r="T66"/>
          <cell r="U66"/>
          <cell r="V66"/>
          <cell r="W66"/>
          <cell r="X66">
            <v>30368520</v>
          </cell>
          <cell r="Y66"/>
          <cell r="Z66">
            <v>28456428</v>
          </cell>
          <cell r="AA66"/>
          <cell r="AB66">
            <v>1912092</v>
          </cell>
          <cell r="AC66"/>
          <cell r="AD66"/>
        </row>
        <row r="67">
          <cell r="H67">
            <v>3952021</v>
          </cell>
          <cell r="I67" t="str">
            <v xml:space="preserve">JUAN CARLOS CAICEDO BUELVAS </v>
          </cell>
          <cell r="J67">
            <v>79650959</v>
          </cell>
          <cell r="K67">
            <v>44284</v>
          </cell>
          <cell r="L67">
            <v>44561</v>
          </cell>
          <cell r="M67">
            <v>9509760</v>
          </cell>
          <cell r="N67">
            <v>43</v>
          </cell>
          <cell r="O67">
            <v>59130240</v>
          </cell>
          <cell r="P67" t="str">
            <v>041-21</v>
          </cell>
          <cell r="Q67">
            <v>68640000</v>
          </cell>
          <cell r="R67" t="str">
            <v>086-21</v>
          </cell>
          <cell r="S67">
            <v>59130240</v>
          </cell>
          <cell r="T67"/>
          <cell r="U67"/>
          <cell r="V67"/>
          <cell r="W67">
            <v>642720</v>
          </cell>
          <cell r="X67">
            <v>58487520</v>
          </cell>
          <cell r="Y67"/>
          <cell r="Z67">
            <v>58487520</v>
          </cell>
          <cell r="AA67"/>
          <cell r="AB67">
            <v>0</v>
          </cell>
          <cell r="AC67" t="str">
            <v>saldo a liberar</v>
          </cell>
          <cell r="AD67"/>
        </row>
        <row r="68">
          <cell r="H68">
            <v>465</v>
          </cell>
          <cell r="I68" t="str">
            <v>FABIO ANDRES BENAVIDES ORTEGA</v>
          </cell>
          <cell r="J68">
            <v>80084610</v>
          </cell>
          <cell r="K68">
            <v>44343</v>
          </cell>
          <cell r="L68">
            <v>44561</v>
          </cell>
          <cell r="M68">
            <v>1751000</v>
          </cell>
          <cell r="N68">
            <v>96</v>
          </cell>
          <cell r="O68">
            <v>63036000</v>
          </cell>
          <cell r="P68" t="str">
            <v>092-21</v>
          </cell>
          <cell r="Q68">
            <v>64787000</v>
          </cell>
          <cell r="R68" t="str">
            <v>093-21</v>
          </cell>
          <cell r="S68">
            <v>63036000</v>
          </cell>
          <cell r="T68"/>
          <cell r="U68"/>
          <cell r="V68"/>
          <cell r="W68">
            <v>291833</v>
          </cell>
          <cell r="X68">
            <v>62744167</v>
          </cell>
          <cell r="Y68"/>
          <cell r="Z68">
            <v>62744167</v>
          </cell>
          <cell r="AA68"/>
          <cell r="AB68">
            <v>0</v>
          </cell>
          <cell r="AC68" t="str">
            <v>saldo a liberar</v>
          </cell>
          <cell r="AD68"/>
        </row>
        <row r="69">
          <cell r="H69">
            <v>4462021</v>
          </cell>
          <cell r="I69" t="str">
            <v xml:space="preserve">CARLOS DARIO ARENAS GRANADA </v>
          </cell>
          <cell r="J69">
            <v>19323598</v>
          </cell>
          <cell r="K69">
            <v>44334</v>
          </cell>
          <cell r="L69">
            <v>44561</v>
          </cell>
          <cell r="M69">
            <v>0</v>
          </cell>
          <cell r="N69">
            <v>88</v>
          </cell>
          <cell r="O69">
            <v>72000000</v>
          </cell>
          <cell r="P69" t="str">
            <v>086-21</v>
          </cell>
          <cell r="Q69">
            <v>72000000</v>
          </cell>
          <cell r="R69" t="str">
            <v>091-21</v>
          </cell>
          <cell r="S69">
            <v>72000000</v>
          </cell>
          <cell r="T69"/>
          <cell r="U69"/>
          <cell r="V69"/>
          <cell r="W69">
            <v>4800000</v>
          </cell>
          <cell r="X69">
            <v>67200000</v>
          </cell>
          <cell r="Y69"/>
          <cell r="Z69">
            <v>67200000</v>
          </cell>
          <cell r="AA69"/>
          <cell r="AB69">
            <v>0</v>
          </cell>
          <cell r="AC69" t="str">
            <v>saldo a liberar</v>
          </cell>
          <cell r="AD69"/>
        </row>
        <row r="70">
          <cell r="H70">
            <v>41620211</v>
          </cell>
          <cell r="I70" t="str">
            <v xml:space="preserve">ORGANIZACIÓN IBEROAMERICANA DE SEGURIDAD SOCIAL </v>
          </cell>
          <cell r="J70">
            <v>830002137</v>
          </cell>
          <cell r="K70">
            <v>44308</v>
          </cell>
          <cell r="L70">
            <v>44552</v>
          </cell>
          <cell r="M70">
            <v>210737040</v>
          </cell>
          <cell r="N70">
            <v>86</v>
          </cell>
          <cell r="O70">
            <v>619631480</v>
          </cell>
          <cell r="P70" t="str">
            <v>084-21</v>
          </cell>
          <cell r="Q70">
            <v>830368520</v>
          </cell>
          <cell r="R70" t="str">
            <v>089-21</v>
          </cell>
          <cell r="S70">
            <v>830368520</v>
          </cell>
          <cell r="T70"/>
          <cell r="U70"/>
          <cell r="V70"/>
          <cell r="W70"/>
          <cell r="X70">
            <v>619631480</v>
          </cell>
          <cell r="Y70"/>
          <cell r="Z70">
            <v>329631480</v>
          </cell>
          <cell r="AA70"/>
          <cell r="AB70">
            <v>290000000</v>
          </cell>
          <cell r="AC70"/>
          <cell r="AD70"/>
        </row>
        <row r="71">
          <cell r="H71">
            <v>5012021</v>
          </cell>
          <cell r="I71" t="str">
            <v xml:space="preserve">MARGARETH ALEJANDRA  LUGO PINZON </v>
          </cell>
          <cell r="J71">
            <v>1125473350</v>
          </cell>
          <cell r="K71">
            <v>44370</v>
          </cell>
          <cell r="L71">
            <v>44561</v>
          </cell>
          <cell r="M71">
            <v>0</v>
          </cell>
          <cell r="N71">
            <v>100</v>
          </cell>
          <cell r="O71">
            <v>24369800</v>
          </cell>
          <cell r="P71" t="str">
            <v>098-21</v>
          </cell>
          <cell r="Q71">
            <v>24369800</v>
          </cell>
          <cell r="R71" t="str">
            <v>102-21</v>
          </cell>
          <cell r="S71">
            <v>24369800</v>
          </cell>
          <cell r="T71"/>
          <cell r="U71"/>
          <cell r="V71"/>
          <cell r="W71">
            <v>874814</v>
          </cell>
          <cell r="X71">
            <v>23494986</v>
          </cell>
          <cell r="Y71"/>
          <cell r="Z71">
            <v>23494986</v>
          </cell>
          <cell r="AA71"/>
          <cell r="AB71">
            <v>0</v>
          </cell>
          <cell r="AC71" t="str">
            <v>saldo a liberar</v>
          </cell>
          <cell r="AD71"/>
        </row>
        <row r="72">
          <cell r="H72">
            <v>5472021</v>
          </cell>
          <cell r="I72" t="str">
            <v>JOHANNA ASTRID LOMBANA HORTÚA</v>
          </cell>
          <cell r="J72">
            <v>52517244</v>
          </cell>
          <cell r="K72">
            <v>44420</v>
          </cell>
          <cell r="L72">
            <v>44561</v>
          </cell>
          <cell r="M72">
            <v>1499680</v>
          </cell>
          <cell r="N72">
            <v>115</v>
          </cell>
          <cell r="O72">
            <v>30636320</v>
          </cell>
          <cell r="P72" t="str">
            <v>113-21</v>
          </cell>
          <cell r="Q72">
            <v>32136000</v>
          </cell>
          <cell r="R72" t="str">
            <v>117-21</v>
          </cell>
          <cell r="S72">
            <v>30636320</v>
          </cell>
          <cell r="T72"/>
          <cell r="U72"/>
          <cell r="V72"/>
          <cell r="W72">
            <v>642720</v>
          </cell>
          <cell r="X72">
            <v>29993600</v>
          </cell>
          <cell r="Y72"/>
          <cell r="Z72">
            <v>29993600</v>
          </cell>
          <cell r="AA72"/>
          <cell r="AB72">
            <v>0</v>
          </cell>
          <cell r="AC72" t="str">
            <v>saldo a liberar</v>
          </cell>
          <cell r="AD72"/>
        </row>
        <row r="73">
          <cell r="H73">
            <v>61320211</v>
          </cell>
          <cell r="I73" t="str">
            <v>UNIVERSIDAD NACIONAL E COLOMBIA</v>
          </cell>
          <cell r="J73">
            <v>899999063</v>
          </cell>
          <cell r="K73"/>
          <cell r="L73"/>
          <cell r="M73">
            <v>0</v>
          </cell>
          <cell r="N73">
            <v>132</v>
          </cell>
          <cell r="O73">
            <v>1900000000</v>
          </cell>
          <cell r="P73" t="str">
            <v>130-21</v>
          </cell>
          <cell r="Q73">
            <v>1900000000</v>
          </cell>
          <cell r="R73" t="str">
            <v>130-21</v>
          </cell>
          <cell r="S73">
            <v>1900000000</v>
          </cell>
          <cell r="T73"/>
          <cell r="U73"/>
          <cell r="V73"/>
          <cell r="W73"/>
          <cell r="X73">
            <v>1900000000</v>
          </cell>
          <cell r="Y73"/>
          <cell r="Z73">
            <v>1000000000</v>
          </cell>
          <cell r="AA73"/>
          <cell r="AB73">
            <v>900000000</v>
          </cell>
          <cell r="AC73"/>
          <cell r="AD73"/>
        </row>
        <row r="74">
          <cell r="H74">
            <v>6042021</v>
          </cell>
          <cell r="I74" t="str">
            <v>ADRIANA INES OROZCO USTARIZ</v>
          </cell>
          <cell r="J74">
            <v>49716762</v>
          </cell>
          <cell r="K74"/>
          <cell r="L74"/>
          <cell r="M74">
            <v>13734960</v>
          </cell>
          <cell r="N74">
            <v>124</v>
          </cell>
          <cell r="O74">
            <v>23245040</v>
          </cell>
          <cell r="P74" t="str">
            <v>122-21</v>
          </cell>
          <cell r="Q74">
            <v>36980000</v>
          </cell>
          <cell r="R74" t="str">
            <v>128-21</v>
          </cell>
          <cell r="S74">
            <v>23245040</v>
          </cell>
          <cell r="T74"/>
          <cell r="U74"/>
          <cell r="V74"/>
          <cell r="W74">
            <v>749840</v>
          </cell>
          <cell r="X74">
            <v>22495200</v>
          </cell>
          <cell r="Y74"/>
          <cell r="Z74">
            <v>22495200</v>
          </cell>
          <cell r="AA74"/>
          <cell r="AB74">
            <v>0</v>
          </cell>
          <cell r="AC74" t="str">
            <v>saldo a liberar</v>
          </cell>
          <cell r="AD74"/>
        </row>
        <row r="75">
          <cell r="H75"/>
          <cell r="I75"/>
          <cell r="J75"/>
          <cell r="K75"/>
          <cell r="L75"/>
          <cell r="M75"/>
          <cell r="N75"/>
          <cell r="O75">
            <v>4010387900</v>
          </cell>
          <cell r="P75"/>
          <cell r="Q75">
            <v>4266157207</v>
          </cell>
          <cell r="R75"/>
          <cell r="S75">
            <v>4221124940</v>
          </cell>
          <cell r="T75"/>
          <cell r="U75"/>
          <cell r="V75">
            <v>13533333</v>
          </cell>
          <cell r="W75">
            <v>98397900</v>
          </cell>
          <cell r="X75">
            <v>3925523333</v>
          </cell>
          <cell r="Y75">
            <v>99601326.619999886</v>
          </cell>
          <cell r="Z75">
            <v>2723774333</v>
          </cell>
          <cell r="AA75">
            <v>9836908</v>
          </cell>
          <cell r="AB75">
            <v>1191912092</v>
          </cell>
          <cell r="AC75"/>
          <cell r="AD75"/>
        </row>
        <row r="76">
          <cell r="H76">
            <v>65620211</v>
          </cell>
          <cell r="I76" t="str">
            <v>CORPORACION TALENTUM</v>
          </cell>
          <cell r="J76">
            <v>805023202</v>
          </cell>
          <cell r="K76">
            <v>44183</v>
          </cell>
          <cell r="L76">
            <v>44561</v>
          </cell>
          <cell r="M76">
            <v>1480743934</v>
          </cell>
          <cell r="N76">
            <v>93</v>
          </cell>
          <cell r="O76">
            <v>1400000000</v>
          </cell>
          <cell r="P76" t="str">
            <v xml:space="preserve">04-21 / 092-20 </v>
          </cell>
          <cell r="Q76">
            <v>2880743934</v>
          </cell>
          <cell r="R76" t="str">
            <v>001-21 / 090-20</v>
          </cell>
          <cell r="S76">
            <v>2880743934</v>
          </cell>
          <cell r="T76"/>
          <cell r="U76"/>
          <cell r="V76"/>
          <cell r="W76"/>
          <cell r="X76">
            <v>1400000000</v>
          </cell>
          <cell r="Y76">
            <v>0</v>
          </cell>
          <cell r="Z76">
            <v>1400000000</v>
          </cell>
          <cell r="AA76"/>
          <cell r="AB76">
            <v>0</v>
          </cell>
          <cell r="AC76"/>
          <cell r="AD76"/>
        </row>
        <row r="77">
          <cell r="H77">
            <v>18882021</v>
          </cell>
          <cell r="I77" t="str">
            <v>ADMINISTRADORA COLOMBIANA DE PENSIONES C</v>
          </cell>
          <cell r="J77">
            <v>900336004</v>
          </cell>
          <cell r="K77"/>
          <cell r="L77"/>
          <cell r="M77"/>
          <cell r="N77">
            <v>113</v>
          </cell>
          <cell r="O77">
            <v>3130897008</v>
          </cell>
          <cell r="P77" t="str">
            <v>111-21</v>
          </cell>
          <cell r="Q77">
            <v>3130897008</v>
          </cell>
          <cell r="R77" t="str">
            <v>114-21</v>
          </cell>
          <cell r="S77">
            <v>3130897008</v>
          </cell>
          <cell r="T77"/>
          <cell r="U77"/>
          <cell r="V77"/>
          <cell r="W77"/>
          <cell r="X77">
            <v>3130897008</v>
          </cell>
          <cell r="Y77"/>
          <cell r="Z77">
            <v>3130897008</v>
          </cell>
          <cell r="AA77"/>
          <cell r="AB77">
            <v>0</v>
          </cell>
          <cell r="AC77"/>
          <cell r="AD77"/>
        </row>
        <row r="78">
          <cell r="H78">
            <v>57820211</v>
          </cell>
          <cell r="I78" t="str">
            <v>UNIVERSIDAD FRANCISCO DE PAULA SANTANDER</v>
          </cell>
          <cell r="J78">
            <v>800163130</v>
          </cell>
          <cell r="K78">
            <v>44462</v>
          </cell>
          <cell r="L78">
            <v>44561</v>
          </cell>
          <cell r="M78">
            <v>0</v>
          </cell>
          <cell r="N78">
            <v>118</v>
          </cell>
          <cell r="O78">
            <v>4618402391</v>
          </cell>
          <cell r="P78" t="str">
            <v>116-21</v>
          </cell>
          <cell r="Q78">
            <v>4618402391</v>
          </cell>
          <cell r="R78" t="str">
            <v>125-21</v>
          </cell>
          <cell r="S78">
            <v>4618402391</v>
          </cell>
          <cell r="T78"/>
          <cell r="U78"/>
          <cell r="V78"/>
          <cell r="W78"/>
          <cell r="X78">
            <v>4618402391</v>
          </cell>
          <cell r="Y78"/>
          <cell r="Z78">
            <v>3000000000</v>
          </cell>
          <cell r="AA78"/>
          <cell r="AB78">
            <v>1618402391</v>
          </cell>
          <cell r="AC78"/>
          <cell r="AD78"/>
        </row>
        <row r="79">
          <cell r="H79"/>
          <cell r="I79"/>
          <cell r="J79"/>
          <cell r="K79"/>
          <cell r="L79"/>
          <cell r="M79"/>
          <cell r="N79"/>
          <cell r="O79"/>
          <cell r="P79"/>
          <cell r="Q79"/>
          <cell r="R79"/>
          <cell r="S79"/>
          <cell r="T79"/>
          <cell r="U79"/>
          <cell r="V79"/>
          <cell r="W79"/>
          <cell r="X79"/>
          <cell r="Y79"/>
          <cell r="Z79"/>
          <cell r="AA79"/>
          <cell r="AB79"/>
          <cell r="AC79"/>
          <cell r="AD79"/>
        </row>
        <row r="80">
          <cell r="H80"/>
          <cell r="I80"/>
          <cell r="J80"/>
          <cell r="K80"/>
          <cell r="L80"/>
          <cell r="M80"/>
          <cell r="N80"/>
          <cell r="O80"/>
          <cell r="P80"/>
          <cell r="Q80"/>
          <cell r="R80"/>
          <cell r="S80"/>
          <cell r="T80"/>
          <cell r="U80"/>
          <cell r="V80"/>
          <cell r="W80"/>
          <cell r="X80"/>
          <cell r="Y80"/>
          <cell r="Z80"/>
          <cell r="AA80"/>
          <cell r="AB80"/>
          <cell r="AC80"/>
          <cell r="AD80"/>
        </row>
        <row r="81">
          <cell r="H81"/>
          <cell r="I81"/>
          <cell r="J81"/>
          <cell r="K81"/>
          <cell r="L81"/>
          <cell r="M81"/>
          <cell r="N81"/>
          <cell r="O81"/>
          <cell r="P81"/>
          <cell r="Q81"/>
          <cell r="R81"/>
          <cell r="S81"/>
          <cell r="T81"/>
          <cell r="U81"/>
          <cell r="V81"/>
          <cell r="W81"/>
          <cell r="X81"/>
          <cell r="Y81"/>
          <cell r="Z81"/>
          <cell r="AA81"/>
          <cell r="AB81"/>
          <cell r="AC81"/>
          <cell r="AD81"/>
        </row>
        <row r="82">
          <cell r="H82"/>
          <cell r="I82"/>
          <cell r="J82"/>
          <cell r="K82"/>
          <cell r="L82"/>
          <cell r="M82"/>
          <cell r="N82"/>
          <cell r="O82"/>
          <cell r="P82"/>
          <cell r="Q82"/>
          <cell r="R82"/>
          <cell r="S82"/>
          <cell r="T82"/>
          <cell r="U82"/>
          <cell r="V82"/>
          <cell r="W82"/>
          <cell r="X82"/>
          <cell r="Y82"/>
          <cell r="Z82"/>
          <cell r="AA82"/>
          <cell r="AB82"/>
          <cell r="AC82"/>
          <cell r="AD82"/>
        </row>
        <row r="83">
          <cell r="H83"/>
          <cell r="I83"/>
          <cell r="J83"/>
          <cell r="K83"/>
          <cell r="L83"/>
          <cell r="M83"/>
          <cell r="N83"/>
          <cell r="O83"/>
          <cell r="P83"/>
          <cell r="Q83"/>
          <cell r="R83"/>
          <cell r="S83"/>
          <cell r="T83"/>
          <cell r="U83"/>
          <cell r="V83"/>
          <cell r="W83"/>
          <cell r="X83">
            <v>0</v>
          </cell>
          <cell r="Y83"/>
          <cell r="Z83"/>
          <cell r="AA83"/>
          <cell r="AB83"/>
        </row>
        <row r="84">
          <cell r="H84"/>
          <cell r="I84"/>
          <cell r="J84"/>
          <cell r="K84"/>
          <cell r="L84"/>
          <cell r="M84"/>
          <cell r="N84"/>
          <cell r="O84">
            <v>9149299399</v>
          </cell>
          <cell r="P84"/>
          <cell r="Q84">
            <v>10630043333</v>
          </cell>
          <cell r="R84"/>
          <cell r="S84">
            <v>10630043333</v>
          </cell>
          <cell r="T84"/>
          <cell r="U84"/>
          <cell r="V84">
            <v>0</v>
          </cell>
          <cell r="W84">
            <v>0</v>
          </cell>
          <cell r="X84">
            <v>9149299399</v>
          </cell>
          <cell r="Y84">
            <v>0</v>
          </cell>
          <cell r="Z84">
            <v>7530897008</v>
          </cell>
          <cell r="AA84">
            <v>0</v>
          </cell>
          <cell r="AB84">
            <v>1618402391</v>
          </cell>
          <cell r="AC84"/>
          <cell r="AD84"/>
        </row>
        <row r="85">
          <cell r="H85">
            <v>1712021</v>
          </cell>
          <cell r="I85" t="str">
            <v>JONEDER  OSPINA REINA</v>
          </cell>
          <cell r="J85">
            <v>18189979</v>
          </cell>
          <cell r="K85">
            <v>44228</v>
          </cell>
          <cell r="L85">
            <v>44561</v>
          </cell>
          <cell r="M85">
            <v>571307</v>
          </cell>
          <cell r="N85">
            <v>34</v>
          </cell>
          <cell r="O85">
            <v>47561280</v>
          </cell>
          <cell r="P85" t="str">
            <v>031-21</v>
          </cell>
          <cell r="Q85">
            <v>48132587</v>
          </cell>
          <cell r="R85" t="str">
            <v>038-21</v>
          </cell>
          <cell r="S85">
            <v>47561280</v>
          </cell>
          <cell r="T85"/>
          <cell r="U85"/>
          <cell r="V85"/>
          <cell r="W85">
            <v>428480</v>
          </cell>
          <cell r="X85">
            <v>47132800</v>
          </cell>
          <cell r="Y85">
            <v>1047339768.8899999</v>
          </cell>
          <cell r="Z85">
            <v>47132800</v>
          </cell>
          <cell r="AA85"/>
          <cell r="AB85">
            <v>0</v>
          </cell>
          <cell r="AC85" t="str">
            <v>saldo a liberar</v>
          </cell>
          <cell r="AD85"/>
        </row>
        <row r="86">
          <cell r="H86">
            <v>1942021</v>
          </cell>
          <cell r="I86" t="str">
            <v>CLAUDIA MARCELA LADINO HERRERA</v>
          </cell>
          <cell r="J86">
            <v>52875023</v>
          </cell>
          <cell r="K86">
            <v>44229</v>
          </cell>
          <cell r="L86">
            <v>44561</v>
          </cell>
          <cell r="M86">
            <v>999787</v>
          </cell>
          <cell r="N86">
            <v>33</v>
          </cell>
          <cell r="O86">
            <v>83232240</v>
          </cell>
          <cell r="P86" t="str">
            <v>038-21</v>
          </cell>
          <cell r="Q86">
            <v>84232027</v>
          </cell>
          <cell r="R86" t="str">
            <v>043-21</v>
          </cell>
          <cell r="S86">
            <v>83232240</v>
          </cell>
          <cell r="T86"/>
          <cell r="U86"/>
          <cell r="V86"/>
          <cell r="W86">
            <v>1499680</v>
          </cell>
          <cell r="X86">
            <v>81732560</v>
          </cell>
          <cell r="Y86"/>
          <cell r="Z86">
            <v>81732560</v>
          </cell>
          <cell r="AA86"/>
          <cell r="AB86">
            <v>0</v>
          </cell>
          <cell r="AC86" t="str">
            <v>saldo a liberar</v>
          </cell>
          <cell r="AD86"/>
        </row>
        <row r="87">
          <cell r="H87">
            <v>2672021</v>
          </cell>
          <cell r="I87" t="str">
            <v>LILIA ALEJANDRA SANCLEMENTE VELASQUEZ</v>
          </cell>
          <cell r="J87">
            <v>52743156</v>
          </cell>
          <cell r="K87">
            <v>44238</v>
          </cell>
          <cell r="L87">
            <v>44561</v>
          </cell>
          <cell r="M87">
            <v>0</v>
          </cell>
          <cell r="N87">
            <v>77</v>
          </cell>
          <cell r="O87">
            <v>36266667</v>
          </cell>
          <cell r="P87" t="str">
            <v>072-21</v>
          </cell>
          <cell r="Q87">
            <v>36266667</v>
          </cell>
          <cell r="R87" t="str">
            <v>071-21</v>
          </cell>
          <cell r="S87">
            <v>36266667</v>
          </cell>
          <cell r="T87"/>
          <cell r="U87"/>
          <cell r="V87"/>
          <cell r="W87">
            <v>226667</v>
          </cell>
          <cell r="X87">
            <v>36040000</v>
          </cell>
          <cell r="Y87"/>
          <cell r="Z87">
            <v>36040000</v>
          </cell>
          <cell r="AA87"/>
          <cell r="AB87">
            <v>0</v>
          </cell>
          <cell r="AC87" t="str">
            <v>saldo a liberar</v>
          </cell>
          <cell r="AD87"/>
        </row>
        <row r="88">
          <cell r="H88">
            <v>1602021</v>
          </cell>
          <cell r="I88" t="str">
            <v>LEIDY YURANY ALEY PAYA</v>
          </cell>
          <cell r="J88">
            <v>34321916</v>
          </cell>
          <cell r="K88">
            <v>44225</v>
          </cell>
          <cell r="L88">
            <v>44561</v>
          </cell>
          <cell r="M88">
            <v>0</v>
          </cell>
          <cell r="N88">
            <v>35</v>
          </cell>
          <cell r="O88">
            <v>60165733</v>
          </cell>
          <cell r="P88" t="str">
            <v>032-21</v>
          </cell>
          <cell r="Q88">
            <v>60165733</v>
          </cell>
          <cell r="R88" t="str">
            <v>035-21</v>
          </cell>
          <cell r="S88">
            <v>60165733</v>
          </cell>
          <cell r="T88"/>
          <cell r="U88"/>
          <cell r="V88"/>
          <cell r="W88">
            <v>714133</v>
          </cell>
          <cell r="X88">
            <v>59451600</v>
          </cell>
          <cell r="Y88"/>
          <cell r="Z88">
            <v>59451600</v>
          </cell>
          <cell r="AA88"/>
          <cell r="AB88">
            <v>0</v>
          </cell>
          <cell r="AC88" t="str">
            <v>saldo a liberar</v>
          </cell>
          <cell r="AD88"/>
        </row>
        <row r="89">
          <cell r="H89">
            <v>2862021</v>
          </cell>
          <cell r="I89" t="str">
            <v>VICTOR GABRIEL MUÑOZ SANCLEMENTE</v>
          </cell>
          <cell r="J89">
            <v>1061738953</v>
          </cell>
          <cell r="K89">
            <v>44242</v>
          </cell>
          <cell r="L89">
            <v>44561</v>
          </cell>
          <cell r="M89">
            <v>0</v>
          </cell>
          <cell r="N89">
            <v>73</v>
          </cell>
          <cell r="O89">
            <v>45704533</v>
          </cell>
          <cell r="P89" t="str">
            <v>065-21</v>
          </cell>
          <cell r="Q89">
            <v>45704533</v>
          </cell>
          <cell r="R89" t="str">
            <v>075-21</v>
          </cell>
          <cell r="S89">
            <v>45704533</v>
          </cell>
          <cell r="T89"/>
          <cell r="U89"/>
          <cell r="V89"/>
          <cell r="W89"/>
          <cell r="X89">
            <v>45704533</v>
          </cell>
          <cell r="Y89"/>
          <cell r="Z89">
            <v>40419947</v>
          </cell>
          <cell r="AA89"/>
          <cell r="AB89">
            <v>5284586</v>
          </cell>
          <cell r="AC89"/>
          <cell r="AD89"/>
        </row>
        <row r="90">
          <cell r="H90">
            <v>25920201</v>
          </cell>
          <cell r="I90" t="str">
            <v>CONSORCIO INTERVENTORA INTEGRAL</v>
          </cell>
          <cell r="J90">
            <v>901376852</v>
          </cell>
          <cell r="K90">
            <v>43906</v>
          </cell>
          <cell r="L90">
            <v>44196</v>
          </cell>
          <cell r="M90">
            <v>0</v>
          </cell>
          <cell r="N90"/>
          <cell r="O90">
            <v>192643358</v>
          </cell>
          <cell r="P90" t="str">
            <v>005-21</v>
          </cell>
          <cell r="Q90">
            <v>192643358</v>
          </cell>
          <cell r="R90" t="str">
            <v>004-21</v>
          </cell>
          <cell r="S90">
            <v>192643358</v>
          </cell>
          <cell r="T90"/>
          <cell r="U90"/>
          <cell r="V90">
            <v>385286716</v>
          </cell>
          <cell r="W90"/>
          <cell r="X90">
            <v>577930074</v>
          </cell>
          <cell r="Y90"/>
          <cell r="Z90">
            <v>529769234.5</v>
          </cell>
          <cell r="AA90"/>
          <cell r="AB90">
            <v>48160839.5</v>
          </cell>
          <cell r="AC90"/>
          <cell r="AD90"/>
        </row>
        <row r="91">
          <cell r="H91">
            <v>702442021</v>
          </cell>
          <cell r="I91" t="str">
            <v>UNION TEMPORAL NIMBIT</v>
          </cell>
          <cell r="J91">
            <v>901374618</v>
          </cell>
          <cell r="K91">
            <v>44349</v>
          </cell>
          <cell r="L91">
            <v>44377</v>
          </cell>
          <cell r="M91">
            <v>1146295.3600000003</v>
          </cell>
          <cell r="N91">
            <v>93</v>
          </cell>
          <cell r="O91">
            <v>3122880</v>
          </cell>
          <cell r="P91" t="str">
            <v>090-21</v>
          </cell>
          <cell r="Q91">
            <v>4269175.3600000003</v>
          </cell>
          <cell r="R91" t="str">
            <v>099-21</v>
          </cell>
          <cell r="S91">
            <v>3122880</v>
          </cell>
          <cell r="T91"/>
          <cell r="U91"/>
          <cell r="V91"/>
          <cell r="W91"/>
          <cell r="X91">
            <v>3122880</v>
          </cell>
          <cell r="Y91"/>
          <cell r="Z91">
            <v>3122880</v>
          </cell>
          <cell r="AA91"/>
          <cell r="AB91">
            <v>0</v>
          </cell>
          <cell r="AC91"/>
          <cell r="AD91"/>
        </row>
        <row r="92">
          <cell r="H92">
            <v>737352021</v>
          </cell>
          <cell r="I92" t="str">
            <v>COLOMBIANA DE SOFTWARE Y HARDWARE - COLSOF LTDA</v>
          </cell>
          <cell r="J92">
            <v>800015583</v>
          </cell>
          <cell r="K92">
            <v>44440</v>
          </cell>
          <cell r="L92">
            <v>44469</v>
          </cell>
          <cell r="M92">
            <v>39392029</v>
          </cell>
          <cell r="N92">
            <v>103</v>
          </cell>
          <cell r="O92">
            <v>236177000</v>
          </cell>
          <cell r="P92" t="str">
            <v>100-21</v>
          </cell>
          <cell r="Q92">
            <v>275569029</v>
          </cell>
          <cell r="R92" t="str">
            <v>112-21</v>
          </cell>
          <cell r="S92">
            <v>236177000</v>
          </cell>
          <cell r="T92"/>
          <cell r="U92"/>
          <cell r="V92"/>
          <cell r="W92"/>
          <cell r="X92">
            <v>236177000</v>
          </cell>
          <cell r="Y92"/>
          <cell r="Z92">
            <v>236177000</v>
          </cell>
          <cell r="AA92"/>
          <cell r="AB92">
            <v>0</v>
          </cell>
          <cell r="AC92"/>
          <cell r="AD92"/>
        </row>
        <row r="93">
          <cell r="H93">
            <v>6302021</v>
          </cell>
          <cell r="I93" t="str">
            <v>DAVID ANCINES PINEDA</v>
          </cell>
          <cell r="J93">
            <v>1026256008</v>
          </cell>
          <cell r="K93" t="str">
            <v>21/102021</v>
          </cell>
          <cell r="L93">
            <v>44561</v>
          </cell>
          <cell r="M93">
            <v>1300000</v>
          </cell>
          <cell r="N93">
            <v>130</v>
          </cell>
          <cell r="O93">
            <v>7700000</v>
          </cell>
          <cell r="P93" t="str">
            <v>128-21</v>
          </cell>
          <cell r="Q93">
            <v>9000000</v>
          </cell>
          <cell r="R93" t="str">
            <v>135-21</v>
          </cell>
          <cell r="S93">
            <v>7700000</v>
          </cell>
          <cell r="T93"/>
          <cell r="U93"/>
          <cell r="V93"/>
          <cell r="W93">
            <v>600000</v>
          </cell>
          <cell r="X93">
            <v>7100000</v>
          </cell>
          <cell r="Y93"/>
          <cell r="Z93">
            <v>7100000</v>
          </cell>
          <cell r="AA93"/>
          <cell r="AB93">
            <v>0</v>
          </cell>
          <cell r="AC93" t="str">
            <v>saldo a liberar</v>
          </cell>
          <cell r="AD93"/>
        </row>
        <row r="94">
          <cell r="H94"/>
          <cell r="I94"/>
          <cell r="J94"/>
          <cell r="K94"/>
          <cell r="L94"/>
          <cell r="M94"/>
          <cell r="N94"/>
          <cell r="O94"/>
          <cell r="P94"/>
          <cell r="Q94"/>
          <cell r="R94"/>
          <cell r="S94"/>
          <cell r="T94"/>
          <cell r="U94"/>
          <cell r="V94"/>
          <cell r="W94"/>
          <cell r="X94">
            <v>0</v>
          </cell>
          <cell r="Y94"/>
          <cell r="Z94"/>
          <cell r="AA94"/>
          <cell r="AB94">
            <v>0</v>
          </cell>
          <cell r="AC94"/>
          <cell r="AD94"/>
        </row>
        <row r="95">
          <cell r="H95"/>
          <cell r="I95"/>
          <cell r="J95"/>
          <cell r="K95"/>
          <cell r="L95"/>
          <cell r="M95"/>
          <cell r="N95"/>
          <cell r="O95"/>
          <cell r="P95"/>
          <cell r="Q95"/>
          <cell r="R95"/>
          <cell r="S95"/>
          <cell r="T95"/>
          <cell r="U95"/>
          <cell r="V95"/>
          <cell r="W95"/>
          <cell r="X95">
            <v>0</v>
          </cell>
          <cell r="Y95"/>
          <cell r="Z95"/>
          <cell r="AA95"/>
          <cell r="AB95">
            <v>0</v>
          </cell>
          <cell r="AC95"/>
          <cell r="AD95"/>
        </row>
        <row r="96">
          <cell r="H96"/>
          <cell r="I96"/>
          <cell r="J96"/>
          <cell r="K96"/>
          <cell r="L96"/>
          <cell r="M96"/>
          <cell r="N96"/>
          <cell r="O96">
            <v>712573691</v>
          </cell>
          <cell r="P96"/>
          <cell r="Q96">
            <v>755983109.36000001</v>
          </cell>
          <cell r="R96"/>
          <cell r="S96">
            <v>712573691</v>
          </cell>
          <cell r="T96"/>
          <cell r="U96"/>
          <cell r="V96">
            <v>385286716</v>
          </cell>
          <cell r="W96">
            <v>3468960</v>
          </cell>
          <cell r="X96">
            <v>1094391447</v>
          </cell>
          <cell r="Y96">
            <v>1047339768.8899999</v>
          </cell>
          <cell r="Z96">
            <v>1040946021.5</v>
          </cell>
          <cell r="AA96">
            <v>0</v>
          </cell>
          <cell r="AB96">
            <v>53445425.5</v>
          </cell>
          <cell r="AC96"/>
          <cell r="AD96"/>
        </row>
        <row r="97">
          <cell r="H97">
            <v>5762021</v>
          </cell>
          <cell r="I97" t="str">
            <v>FUNDACION NUEVO HORIZONTE</v>
          </cell>
          <cell r="J97">
            <v>830503027</v>
          </cell>
          <cell r="K97">
            <v>44449</v>
          </cell>
          <cell r="L97">
            <v>44561</v>
          </cell>
          <cell r="M97">
            <v>0</v>
          </cell>
          <cell r="N97">
            <v>102</v>
          </cell>
          <cell r="O97">
            <v>2116713306</v>
          </cell>
          <cell r="P97" t="str">
            <v>101-21</v>
          </cell>
          <cell r="Q97">
            <v>2116713306</v>
          </cell>
          <cell r="R97" t="str">
            <v>126-21</v>
          </cell>
          <cell r="S97">
            <v>2116713306</v>
          </cell>
          <cell r="T97"/>
          <cell r="U97"/>
          <cell r="V97"/>
          <cell r="W97"/>
          <cell r="X97">
            <v>2116713306</v>
          </cell>
          <cell r="Y97">
            <v>0.88000011444091797</v>
          </cell>
          <cell r="Z97">
            <v>1203469315</v>
          </cell>
          <cell r="AA97"/>
          <cell r="AB97">
            <v>913243991</v>
          </cell>
          <cell r="AC97"/>
          <cell r="AD97"/>
        </row>
        <row r="98">
          <cell r="H98"/>
          <cell r="I98"/>
          <cell r="J98"/>
          <cell r="K98"/>
          <cell r="L98"/>
          <cell r="M98"/>
          <cell r="N98"/>
          <cell r="O98"/>
          <cell r="P98"/>
          <cell r="Q98"/>
          <cell r="R98"/>
          <cell r="S98"/>
          <cell r="T98"/>
          <cell r="U98"/>
          <cell r="V98"/>
          <cell r="W98"/>
          <cell r="X98">
            <v>0</v>
          </cell>
          <cell r="Y98"/>
          <cell r="Z98"/>
          <cell r="AA98"/>
          <cell r="AB98">
            <v>0</v>
          </cell>
          <cell r="AC98"/>
          <cell r="AD98"/>
        </row>
        <row r="99">
          <cell r="H99"/>
          <cell r="I99"/>
          <cell r="J99"/>
          <cell r="K99"/>
          <cell r="L99"/>
          <cell r="M99"/>
          <cell r="N99"/>
          <cell r="O99"/>
          <cell r="P99"/>
          <cell r="Q99"/>
          <cell r="R99"/>
          <cell r="S99"/>
          <cell r="T99"/>
          <cell r="U99"/>
          <cell r="V99"/>
          <cell r="W99"/>
          <cell r="X99">
            <v>0</v>
          </cell>
          <cell r="Y99"/>
          <cell r="Z99"/>
          <cell r="AA99"/>
          <cell r="AB99">
            <v>0</v>
          </cell>
          <cell r="AC99"/>
          <cell r="AD99"/>
        </row>
        <row r="100">
          <cell r="H100"/>
          <cell r="I100"/>
          <cell r="J100"/>
          <cell r="K100"/>
          <cell r="L100"/>
          <cell r="M100"/>
          <cell r="N100"/>
          <cell r="O100"/>
          <cell r="P100"/>
          <cell r="Q100"/>
          <cell r="R100"/>
          <cell r="S100"/>
          <cell r="T100"/>
          <cell r="U100"/>
          <cell r="V100"/>
          <cell r="W100"/>
          <cell r="X100">
            <v>0</v>
          </cell>
          <cell r="Y100"/>
          <cell r="Z100"/>
          <cell r="AA100"/>
          <cell r="AB100">
            <v>0</v>
          </cell>
          <cell r="AC100"/>
          <cell r="AD100"/>
        </row>
        <row r="101">
          <cell r="H101"/>
          <cell r="I101"/>
          <cell r="J101"/>
          <cell r="K101"/>
          <cell r="L101"/>
          <cell r="M101"/>
          <cell r="N101"/>
          <cell r="O101"/>
          <cell r="P101"/>
          <cell r="Q101"/>
          <cell r="R101"/>
          <cell r="S101"/>
          <cell r="T101"/>
          <cell r="U101"/>
          <cell r="V101"/>
          <cell r="W101"/>
          <cell r="X101">
            <v>0</v>
          </cell>
          <cell r="Y101"/>
          <cell r="Z101"/>
          <cell r="AA101"/>
          <cell r="AB101">
            <v>0</v>
          </cell>
          <cell r="AC101"/>
          <cell r="AD101"/>
        </row>
        <row r="102">
          <cell r="H102"/>
          <cell r="I102"/>
          <cell r="J102"/>
          <cell r="K102"/>
          <cell r="L102"/>
          <cell r="M102"/>
          <cell r="N102"/>
          <cell r="O102"/>
          <cell r="P102"/>
          <cell r="Q102"/>
          <cell r="R102"/>
          <cell r="S102"/>
          <cell r="T102"/>
          <cell r="U102"/>
          <cell r="V102"/>
          <cell r="W102"/>
          <cell r="X102">
            <v>0</v>
          </cell>
          <cell r="Y102"/>
          <cell r="Z102"/>
          <cell r="AA102"/>
          <cell r="AB102">
            <v>0</v>
          </cell>
          <cell r="AC102"/>
          <cell r="AD102"/>
        </row>
        <row r="103">
          <cell r="H103"/>
          <cell r="I103"/>
          <cell r="J103"/>
          <cell r="K103"/>
          <cell r="L103"/>
          <cell r="M103"/>
          <cell r="N103"/>
          <cell r="O103">
            <v>2116713306</v>
          </cell>
          <cell r="P103"/>
          <cell r="Q103">
            <v>2116713306</v>
          </cell>
          <cell r="R103">
            <v>0</v>
          </cell>
          <cell r="S103">
            <v>2116713306</v>
          </cell>
          <cell r="T103"/>
          <cell r="U103"/>
          <cell r="V103">
            <v>0</v>
          </cell>
          <cell r="W103">
            <v>0</v>
          </cell>
          <cell r="X103">
            <v>2116713306</v>
          </cell>
          <cell r="Y103">
            <v>0.88000011444091797</v>
          </cell>
          <cell r="Z103">
            <v>1203469315</v>
          </cell>
          <cell r="AA103">
            <v>0</v>
          </cell>
          <cell r="AB103">
            <v>913243991</v>
          </cell>
          <cell r="AC103"/>
          <cell r="AD103"/>
        </row>
        <row r="104">
          <cell r="H104">
            <v>492021</v>
          </cell>
          <cell r="I104" t="str">
            <v xml:space="preserve">JESUS ANTONIO MORENO </v>
          </cell>
          <cell r="J104">
            <v>18123215</v>
          </cell>
          <cell r="K104">
            <v>44216</v>
          </cell>
          <cell r="L104">
            <v>44561</v>
          </cell>
          <cell r="M104">
            <v>1098667</v>
          </cell>
          <cell r="N104">
            <v>19</v>
          </cell>
          <cell r="O104">
            <v>96133333</v>
          </cell>
          <cell r="P104" t="str">
            <v>018-21</v>
          </cell>
          <cell r="Q104">
            <v>97232000</v>
          </cell>
          <cell r="R104" t="str">
            <v>018-21</v>
          </cell>
          <cell r="S104">
            <v>96133333</v>
          </cell>
          <cell r="T104" t="str">
            <v>107-21</v>
          </cell>
          <cell r="U104" t="str">
            <v>109-21</v>
          </cell>
          <cell r="V104">
            <v>10000000</v>
          </cell>
          <cell r="W104">
            <v>3908864</v>
          </cell>
          <cell r="X104">
            <v>102224469</v>
          </cell>
          <cell r="Y104">
            <v>1114767195.2800002</v>
          </cell>
          <cell r="Z104">
            <v>93936000</v>
          </cell>
          <cell r="AA104">
            <v>8288469</v>
          </cell>
          <cell r="AB104">
            <v>0</v>
          </cell>
          <cell r="AC104" t="str">
            <v>saldo a liberar</v>
          </cell>
          <cell r="AD104"/>
        </row>
        <row r="105">
          <cell r="H105">
            <v>1072021</v>
          </cell>
          <cell r="I105" t="str">
            <v xml:space="preserve">JOSE WILLIAM ALVARADO </v>
          </cell>
          <cell r="J105">
            <v>19450696</v>
          </cell>
          <cell r="K105">
            <v>44221</v>
          </cell>
          <cell r="L105">
            <v>44561</v>
          </cell>
          <cell r="M105">
            <v>2472000</v>
          </cell>
          <cell r="N105">
            <v>32</v>
          </cell>
          <cell r="O105">
            <v>92288000</v>
          </cell>
          <cell r="P105" t="str">
            <v>030-21</v>
          </cell>
          <cell r="Q105">
            <v>94760000</v>
          </cell>
          <cell r="R105" t="str">
            <v>027-21</v>
          </cell>
          <cell r="S105">
            <v>92288000</v>
          </cell>
          <cell r="T105"/>
          <cell r="U105"/>
          <cell r="V105"/>
          <cell r="W105">
            <v>549334</v>
          </cell>
          <cell r="X105">
            <v>91738666</v>
          </cell>
          <cell r="Y105"/>
          <cell r="Z105">
            <v>91738666</v>
          </cell>
          <cell r="AA105"/>
          <cell r="AB105">
            <v>0</v>
          </cell>
          <cell r="AC105" t="str">
            <v>saldo a liberar</v>
          </cell>
          <cell r="AD105"/>
        </row>
        <row r="106">
          <cell r="H106">
            <v>1312021</v>
          </cell>
          <cell r="I106" t="str">
            <v xml:space="preserve">MONICA VIVIANA GUEVARA </v>
          </cell>
          <cell r="J106">
            <v>1000804079</v>
          </cell>
          <cell r="K106">
            <v>44221</v>
          </cell>
          <cell r="L106">
            <v>44561</v>
          </cell>
          <cell r="M106">
            <v>2142400</v>
          </cell>
          <cell r="N106">
            <v>28</v>
          </cell>
          <cell r="O106">
            <v>71770400</v>
          </cell>
          <cell r="P106" t="str">
            <v>027-21</v>
          </cell>
          <cell r="Q106">
            <v>73912800</v>
          </cell>
          <cell r="R106" t="str">
            <v>030-21</v>
          </cell>
          <cell r="S106">
            <v>71770400</v>
          </cell>
          <cell r="T106"/>
          <cell r="U106"/>
          <cell r="V106"/>
          <cell r="W106">
            <v>214240</v>
          </cell>
          <cell r="X106">
            <v>71556160</v>
          </cell>
          <cell r="Y106"/>
          <cell r="Z106">
            <v>71556160</v>
          </cell>
          <cell r="AA106"/>
          <cell r="AB106">
            <v>0</v>
          </cell>
          <cell r="AC106" t="str">
            <v>saldo a liberar</v>
          </cell>
          <cell r="AD106"/>
        </row>
        <row r="107">
          <cell r="H107">
            <v>1422021</v>
          </cell>
          <cell r="I107" t="str">
            <v xml:space="preserve">ADRIANA PATRICIA AREVALO </v>
          </cell>
          <cell r="J107">
            <v>65719903</v>
          </cell>
          <cell r="K107">
            <v>44224</v>
          </cell>
          <cell r="L107">
            <v>44561</v>
          </cell>
          <cell r="M107">
            <v>2231667</v>
          </cell>
          <cell r="N107">
            <v>24</v>
          </cell>
          <cell r="O107">
            <v>74760833</v>
          </cell>
          <cell r="P107" t="str">
            <v>026-21</v>
          </cell>
          <cell r="Q107">
            <v>76992500</v>
          </cell>
          <cell r="R107" t="str">
            <v>031-21</v>
          </cell>
          <cell r="S107">
            <v>74760833</v>
          </cell>
          <cell r="T107"/>
          <cell r="U107"/>
          <cell r="V107"/>
          <cell r="W107">
            <v>223166</v>
          </cell>
          <cell r="X107">
            <v>74537667</v>
          </cell>
          <cell r="Y107"/>
          <cell r="Z107">
            <v>74537667</v>
          </cell>
          <cell r="AA107"/>
          <cell r="AB107">
            <v>0</v>
          </cell>
          <cell r="AC107" t="str">
            <v>saldo a liberar</v>
          </cell>
          <cell r="AD107"/>
        </row>
        <row r="108">
          <cell r="H108">
            <v>1432021</v>
          </cell>
          <cell r="I108" t="str">
            <v xml:space="preserve">YOLANDA BELTRAN BARRERA </v>
          </cell>
          <cell r="J108">
            <v>1052379304</v>
          </cell>
          <cell r="K108">
            <v>44223</v>
          </cell>
          <cell r="L108">
            <v>44561</v>
          </cell>
          <cell r="M108">
            <v>0</v>
          </cell>
          <cell r="N108">
            <v>30</v>
          </cell>
          <cell r="O108">
            <v>91206500</v>
          </cell>
          <cell r="P108" t="str">
            <v>029-21</v>
          </cell>
          <cell r="Q108">
            <v>91206500</v>
          </cell>
          <cell r="R108" t="str">
            <v>032-21</v>
          </cell>
          <cell r="S108">
            <v>91206500</v>
          </cell>
          <cell r="T108"/>
          <cell r="U108"/>
          <cell r="V108"/>
          <cell r="W108">
            <v>2643667</v>
          </cell>
          <cell r="X108">
            <v>88562833</v>
          </cell>
          <cell r="Y108"/>
          <cell r="Z108">
            <v>88562833</v>
          </cell>
          <cell r="AA108"/>
          <cell r="AB108">
            <v>0</v>
          </cell>
          <cell r="AC108" t="str">
            <v>saldo a liberar</v>
          </cell>
          <cell r="AD108"/>
        </row>
        <row r="109">
          <cell r="H109">
            <v>902021</v>
          </cell>
          <cell r="I109" t="str">
            <v>RUTH CONSUELO SUAREZ TORRES</v>
          </cell>
          <cell r="J109">
            <v>20485054</v>
          </cell>
          <cell r="K109">
            <v>44218</v>
          </cell>
          <cell r="L109">
            <v>44561</v>
          </cell>
          <cell r="M109">
            <v>1321833</v>
          </cell>
          <cell r="N109">
            <v>29</v>
          </cell>
          <cell r="O109">
            <v>89884667</v>
          </cell>
          <cell r="P109" t="str">
            <v>028-21</v>
          </cell>
          <cell r="Q109">
            <v>91206500</v>
          </cell>
          <cell r="R109" t="str">
            <v>025-21</v>
          </cell>
          <cell r="S109">
            <v>89884667</v>
          </cell>
          <cell r="T109"/>
          <cell r="U109"/>
          <cell r="V109"/>
          <cell r="W109"/>
          <cell r="X109">
            <v>89884667</v>
          </cell>
          <cell r="Y109"/>
          <cell r="Z109">
            <v>89884667</v>
          </cell>
          <cell r="AA109"/>
          <cell r="AB109">
            <v>0</v>
          </cell>
          <cell r="AC109"/>
          <cell r="AD109"/>
        </row>
        <row r="110">
          <cell r="H110">
            <v>1572021</v>
          </cell>
          <cell r="I110" t="str">
            <v>LUZ ANGELA GONZALEZ MOLANO</v>
          </cell>
          <cell r="J110">
            <v>52028229</v>
          </cell>
          <cell r="K110">
            <v>44225</v>
          </cell>
          <cell r="L110">
            <v>44561</v>
          </cell>
          <cell r="M110">
            <v>721000</v>
          </cell>
          <cell r="N110">
            <v>39</v>
          </cell>
          <cell r="O110">
            <v>80271333</v>
          </cell>
          <cell r="P110" t="str">
            <v>033-21</v>
          </cell>
          <cell r="Q110">
            <v>80992333</v>
          </cell>
          <cell r="R110" t="str">
            <v>034-21</v>
          </cell>
          <cell r="S110">
            <v>80271333</v>
          </cell>
          <cell r="T110"/>
          <cell r="U110"/>
          <cell r="V110"/>
          <cell r="W110">
            <v>240333</v>
          </cell>
          <cell r="X110">
            <v>80031000</v>
          </cell>
          <cell r="Y110"/>
          <cell r="Z110">
            <v>80031000</v>
          </cell>
          <cell r="AA110"/>
          <cell r="AB110">
            <v>0</v>
          </cell>
          <cell r="AC110" t="str">
            <v>saldo a liberar</v>
          </cell>
          <cell r="AD110"/>
        </row>
        <row r="111">
          <cell r="H111">
            <v>1642021</v>
          </cell>
          <cell r="I111" t="str">
            <v>OLGA JOSEFINA THEVENING AMARIS</v>
          </cell>
          <cell r="J111">
            <v>35113466</v>
          </cell>
          <cell r="K111">
            <v>44225</v>
          </cell>
          <cell r="L111">
            <v>44561</v>
          </cell>
          <cell r="M111">
            <v>0</v>
          </cell>
          <cell r="N111">
            <v>45</v>
          </cell>
          <cell r="O111">
            <v>66000000</v>
          </cell>
          <cell r="P111" t="str">
            <v>044-21</v>
          </cell>
          <cell r="Q111">
            <v>66000000</v>
          </cell>
          <cell r="R111" t="str">
            <v>036-21</v>
          </cell>
          <cell r="S111">
            <v>66000000</v>
          </cell>
          <cell r="T111"/>
          <cell r="U111"/>
          <cell r="V111"/>
          <cell r="W111"/>
          <cell r="X111">
            <v>66000000</v>
          </cell>
          <cell r="Y111"/>
          <cell r="Z111">
            <v>66000000</v>
          </cell>
          <cell r="AA111"/>
          <cell r="AB111">
            <v>0</v>
          </cell>
          <cell r="AC111"/>
          <cell r="AD111"/>
        </row>
        <row r="112">
          <cell r="H112">
            <v>2212021</v>
          </cell>
          <cell r="I112" t="str">
            <v>GUSTAVO EDUARDO ARENAS CAMPOS</v>
          </cell>
          <cell r="J112">
            <v>19329976</v>
          </cell>
          <cell r="K112">
            <v>44232</v>
          </cell>
          <cell r="L112">
            <v>44561</v>
          </cell>
          <cell r="M112">
            <v>0</v>
          </cell>
          <cell r="N112">
            <v>50</v>
          </cell>
          <cell r="O112">
            <v>96305000</v>
          </cell>
          <cell r="P112" t="str">
            <v>048-21</v>
          </cell>
          <cell r="Q112">
            <v>96305000</v>
          </cell>
          <cell r="R112" t="str">
            <v>046-21</v>
          </cell>
          <cell r="S112">
            <v>96305000</v>
          </cell>
          <cell r="T112"/>
          <cell r="U112"/>
          <cell r="V112"/>
          <cell r="W112">
            <v>1751000</v>
          </cell>
          <cell r="X112">
            <v>94554000</v>
          </cell>
          <cell r="Y112"/>
          <cell r="Z112">
            <v>94554000</v>
          </cell>
          <cell r="AA112"/>
          <cell r="AB112">
            <v>0</v>
          </cell>
          <cell r="AC112" t="str">
            <v>saldo a liberar</v>
          </cell>
          <cell r="AD112"/>
        </row>
        <row r="113">
          <cell r="H113">
            <v>2402021</v>
          </cell>
          <cell r="I113" t="str">
            <v>SHARON SASTY STEFAN GONZALEZ ESCORCIA</v>
          </cell>
          <cell r="J113">
            <v>1065647516</v>
          </cell>
          <cell r="K113">
            <v>44237</v>
          </cell>
          <cell r="L113">
            <v>44561</v>
          </cell>
          <cell r="M113">
            <v>750000</v>
          </cell>
          <cell r="N113">
            <v>69</v>
          </cell>
          <cell r="O113">
            <v>48150000</v>
          </cell>
          <cell r="P113" t="str">
            <v>064-21</v>
          </cell>
          <cell r="Q113">
            <v>48900000</v>
          </cell>
          <cell r="R113" t="str">
            <v>066-21</v>
          </cell>
          <cell r="S113">
            <v>48150000</v>
          </cell>
          <cell r="T113" t="str">
            <v>106-21</v>
          </cell>
          <cell r="U113" t="str">
            <v>107-21</v>
          </cell>
          <cell r="V113">
            <v>10000000</v>
          </cell>
          <cell r="W113">
            <v>7224722</v>
          </cell>
          <cell r="X113">
            <v>50925278</v>
          </cell>
          <cell r="Y113"/>
          <cell r="Z113">
            <v>47850000</v>
          </cell>
          <cell r="AA113">
            <v>3075278</v>
          </cell>
          <cell r="AB113">
            <v>0</v>
          </cell>
          <cell r="AC113"/>
          <cell r="AD113"/>
        </row>
        <row r="114">
          <cell r="H114">
            <v>3042021</v>
          </cell>
          <cell r="I114" t="str">
            <v>ANA MARIA LOPEZ CORONADO</v>
          </cell>
          <cell r="J114">
            <v>1019093050</v>
          </cell>
          <cell r="K114">
            <v>44245</v>
          </cell>
          <cell r="L114">
            <v>44561</v>
          </cell>
          <cell r="M114">
            <v>0</v>
          </cell>
          <cell r="N114">
            <v>81</v>
          </cell>
          <cell r="O114">
            <v>44308000</v>
          </cell>
          <cell r="P114" t="str">
            <v>079-21</v>
          </cell>
          <cell r="Q114">
            <v>44308000</v>
          </cell>
          <cell r="R114" t="str">
            <v>077-21</v>
          </cell>
          <cell r="S114">
            <v>44308000</v>
          </cell>
          <cell r="T114"/>
          <cell r="U114"/>
          <cell r="V114"/>
          <cell r="W114">
            <v>975334</v>
          </cell>
          <cell r="X114">
            <v>43332666</v>
          </cell>
          <cell r="Y114"/>
          <cell r="Z114">
            <v>43332666</v>
          </cell>
          <cell r="AA114"/>
          <cell r="AB114">
            <v>0</v>
          </cell>
          <cell r="AC114" t="str">
            <v>saldo a liberar</v>
          </cell>
          <cell r="AD114"/>
        </row>
        <row r="115">
          <cell r="H115">
            <v>1992021</v>
          </cell>
          <cell r="I115" t="str">
            <v>LINDA YANETH ORREGO GIL</v>
          </cell>
          <cell r="J115">
            <v>24348475</v>
          </cell>
          <cell r="K115">
            <v>44229</v>
          </cell>
          <cell r="L115">
            <v>44561</v>
          </cell>
          <cell r="M115">
            <v>2919020</v>
          </cell>
          <cell r="N115">
            <v>36</v>
          </cell>
          <cell r="O115">
            <v>87302800</v>
          </cell>
          <cell r="P115" t="str">
            <v>039-21</v>
          </cell>
          <cell r="Q115">
            <v>90221820</v>
          </cell>
          <cell r="R115" t="str">
            <v>044-21</v>
          </cell>
          <cell r="S115">
            <v>87302800</v>
          </cell>
          <cell r="T115"/>
          <cell r="U115"/>
          <cell r="V115"/>
          <cell r="W115">
            <v>267800</v>
          </cell>
          <cell r="X115">
            <v>87035000</v>
          </cell>
          <cell r="Y115"/>
          <cell r="Z115">
            <v>87035000</v>
          </cell>
          <cell r="AA115"/>
          <cell r="AB115">
            <v>0</v>
          </cell>
          <cell r="AC115" t="str">
            <v>saldo a liberar</v>
          </cell>
          <cell r="AD115"/>
        </row>
        <row r="116">
          <cell r="H116">
            <v>2702021</v>
          </cell>
          <cell r="I116" t="str">
            <v>GUSTAVO ADOLFO CORTES MOSQUERA</v>
          </cell>
          <cell r="J116">
            <v>11811828</v>
          </cell>
          <cell r="K116">
            <v>44239</v>
          </cell>
          <cell r="L116">
            <v>44561</v>
          </cell>
          <cell r="M116">
            <v>280654400</v>
          </cell>
          <cell r="N116">
            <v>65</v>
          </cell>
          <cell r="O116">
            <v>68556800</v>
          </cell>
          <cell r="P116" t="str">
            <v>063-21</v>
          </cell>
          <cell r="Q116">
            <v>349211200</v>
          </cell>
          <cell r="R116" t="str">
            <v>072-21</v>
          </cell>
          <cell r="S116">
            <v>68556800</v>
          </cell>
          <cell r="T116"/>
          <cell r="U116"/>
          <cell r="V116"/>
          <cell r="W116">
            <v>642720</v>
          </cell>
          <cell r="X116">
            <v>67914080</v>
          </cell>
          <cell r="Y116"/>
          <cell r="Z116">
            <v>67914080</v>
          </cell>
          <cell r="AA116"/>
          <cell r="AB116">
            <v>0</v>
          </cell>
          <cell r="AC116" t="str">
            <v>saldo a liberar</v>
          </cell>
          <cell r="AD116"/>
        </row>
        <row r="117">
          <cell r="H117">
            <v>3092021</v>
          </cell>
          <cell r="I117" t="str">
            <v>ANGELA YOLIMA NOVA MOLANO</v>
          </cell>
          <cell r="J117">
            <v>46379088</v>
          </cell>
          <cell r="K117">
            <v>44245</v>
          </cell>
          <cell r="L117">
            <v>44561</v>
          </cell>
          <cell r="M117">
            <v>0</v>
          </cell>
          <cell r="N117">
            <v>74</v>
          </cell>
          <cell r="O117">
            <v>90640000</v>
          </cell>
          <cell r="P117" t="str">
            <v>066-21</v>
          </cell>
          <cell r="Q117">
            <v>90640000</v>
          </cell>
          <cell r="R117" t="str">
            <v>079-21</v>
          </cell>
          <cell r="S117">
            <v>90640000</v>
          </cell>
          <cell r="T117"/>
          <cell r="U117"/>
          <cell r="V117"/>
          <cell r="W117">
            <v>5493333</v>
          </cell>
          <cell r="X117">
            <v>85146667</v>
          </cell>
          <cell r="Y117"/>
          <cell r="Z117">
            <v>85146667</v>
          </cell>
          <cell r="AA117"/>
          <cell r="AB117">
            <v>0</v>
          </cell>
          <cell r="AC117" t="str">
            <v>saldo a liberar</v>
          </cell>
          <cell r="AD117"/>
        </row>
        <row r="118">
          <cell r="H118">
            <v>2502021</v>
          </cell>
          <cell r="I118" t="str">
            <v>VIVIANA MARCELA PEDRAZA SERRANO</v>
          </cell>
          <cell r="J118">
            <v>1136881555</v>
          </cell>
          <cell r="K118">
            <v>44237</v>
          </cell>
          <cell r="L118">
            <v>44561</v>
          </cell>
          <cell r="M118">
            <v>0</v>
          </cell>
          <cell r="N118">
            <v>57</v>
          </cell>
          <cell r="O118">
            <v>62315000</v>
          </cell>
          <cell r="P118" t="str">
            <v>073-21</v>
          </cell>
          <cell r="Q118">
            <v>62315000</v>
          </cell>
          <cell r="R118" t="str">
            <v>063-21</v>
          </cell>
          <cell r="S118">
            <v>62315000</v>
          </cell>
          <cell r="T118"/>
          <cell r="U118"/>
          <cell r="V118"/>
          <cell r="W118">
            <v>2077167</v>
          </cell>
          <cell r="X118">
            <v>60237833</v>
          </cell>
          <cell r="Y118"/>
          <cell r="Z118">
            <v>60237833</v>
          </cell>
          <cell r="AA118"/>
          <cell r="AB118">
            <v>0</v>
          </cell>
          <cell r="AC118" t="str">
            <v>saldo a liberar</v>
          </cell>
          <cell r="AD118"/>
        </row>
        <row r="119">
          <cell r="H119">
            <v>2592021</v>
          </cell>
          <cell r="I119" t="str">
            <v>SATURNINO  SOLER ARIAS</v>
          </cell>
          <cell r="J119">
            <v>6752042</v>
          </cell>
          <cell r="K119">
            <v>44266</v>
          </cell>
          <cell r="L119">
            <v>44561</v>
          </cell>
          <cell r="M119">
            <v>280654400</v>
          </cell>
          <cell r="N119">
            <v>65</v>
          </cell>
          <cell r="O119">
            <v>68556800</v>
          </cell>
          <cell r="P119" t="str">
            <v>063-21</v>
          </cell>
          <cell r="Q119">
            <v>349211200</v>
          </cell>
          <cell r="R119" t="str">
            <v>064-21</v>
          </cell>
          <cell r="S119">
            <v>68556800</v>
          </cell>
          <cell r="T119"/>
          <cell r="U119"/>
          <cell r="V119"/>
          <cell r="W119">
            <v>428480</v>
          </cell>
          <cell r="X119">
            <v>68128320</v>
          </cell>
          <cell r="Y119"/>
          <cell r="Z119">
            <v>68128320</v>
          </cell>
          <cell r="AA119"/>
          <cell r="AB119">
            <v>0</v>
          </cell>
          <cell r="AC119" t="str">
            <v>saldo a liberar</v>
          </cell>
          <cell r="AD119"/>
        </row>
        <row r="120">
          <cell r="H120">
            <v>2902021</v>
          </cell>
          <cell r="I120" t="str">
            <v>RIGOBERTO  OLIVELLA ARZUAGA</v>
          </cell>
          <cell r="J120">
            <v>12722257</v>
          </cell>
          <cell r="K120">
            <v>44236</v>
          </cell>
          <cell r="L120">
            <v>44561</v>
          </cell>
          <cell r="M120">
            <v>280654400</v>
          </cell>
          <cell r="N120">
            <v>65</v>
          </cell>
          <cell r="O120">
            <v>68556800</v>
          </cell>
          <cell r="P120" t="str">
            <v>063-21</v>
          </cell>
          <cell r="Q120">
            <v>349211200</v>
          </cell>
          <cell r="R120" t="str">
            <v>076-21</v>
          </cell>
          <cell r="S120">
            <v>68556800</v>
          </cell>
          <cell r="T120"/>
          <cell r="U120"/>
          <cell r="V120"/>
          <cell r="W120">
            <v>1928160</v>
          </cell>
          <cell r="X120">
            <v>66628640</v>
          </cell>
          <cell r="Y120"/>
          <cell r="Z120">
            <v>66628640</v>
          </cell>
          <cell r="AA120"/>
          <cell r="AB120">
            <v>0</v>
          </cell>
          <cell r="AC120" t="str">
            <v>saldo a liberar</v>
          </cell>
          <cell r="AD120"/>
        </row>
        <row r="121">
          <cell r="H121">
            <v>3362021</v>
          </cell>
          <cell r="I121" t="str">
            <v xml:space="preserve">WILL ROBINSON LOPERA CARDONA </v>
          </cell>
          <cell r="J121">
            <v>9867725</v>
          </cell>
          <cell r="K121">
            <v>44251</v>
          </cell>
          <cell r="L121">
            <v>44561</v>
          </cell>
          <cell r="M121">
            <v>7141333</v>
          </cell>
          <cell r="N121">
            <v>63</v>
          </cell>
          <cell r="O121">
            <v>87124267</v>
          </cell>
          <cell r="P121" t="str">
            <v>067-21</v>
          </cell>
          <cell r="Q121">
            <v>94265600</v>
          </cell>
          <cell r="R121" t="str">
            <v>080-21</v>
          </cell>
          <cell r="S121">
            <v>87124267</v>
          </cell>
          <cell r="T121"/>
          <cell r="U121"/>
          <cell r="V121"/>
          <cell r="W121">
            <v>571307</v>
          </cell>
          <cell r="X121">
            <v>86552960</v>
          </cell>
          <cell r="Y121"/>
          <cell r="Z121">
            <v>86552960</v>
          </cell>
          <cell r="AA121"/>
          <cell r="AB121">
            <v>0</v>
          </cell>
          <cell r="AC121" t="str">
            <v>saldo a liberar</v>
          </cell>
          <cell r="AD121"/>
        </row>
        <row r="122">
          <cell r="H122">
            <v>4012021</v>
          </cell>
          <cell r="I122" t="str">
            <v>MELISSA TATIANA ADARME VALBUENA</v>
          </cell>
          <cell r="J122">
            <v>40942077</v>
          </cell>
          <cell r="K122">
            <v>44293</v>
          </cell>
          <cell r="L122">
            <v>44561</v>
          </cell>
          <cell r="M122">
            <v>343333</v>
          </cell>
          <cell r="N122">
            <v>84</v>
          </cell>
          <cell r="O122">
            <v>49096667</v>
          </cell>
          <cell r="P122" t="str">
            <v>083-21</v>
          </cell>
          <cell r="Q122">
            <v>49440000</v>
          </cell>
          <cell r="R122" t="str">
            <v>087-21</v>
          </cell>
          <cell r="S122">
            <v>49096667</v>
          </cell>
          <cell r="T122"/>
          <cell r="U122"/>
          <cell r="V122"/>
          <cell r="W122">
            <v>3776667</v>
          </cell>
          <cell r="X122">
            <v>45320000</v>
          </cell>
          <cell r="Y122"/>
          <cell r="Z122">
            <v>45320000</v>
          </cell>
          <cell r="AA122"/>
          <cell r="AB122">
            <v>0</v>
          </cell>
          <cell r="AC122" t="str">
            <v>saldo a liberar</v>
          </cell>
          <cell r="AD122"/>
        </row>
        <row r="123">
          <cell r="H123">
            <v>3902021</v>
          </cell>
          <cell r="I123" t="str">
            <v xml:space="preserve">HARBEY MARTINEZ MEDINA </v>
          </cell>
          <cell r="J123">
            <v>79380153</v>
          </cell>
          <cell r="K123">
            <v>44291</v>
          </cell>
          <cell r="L123">
            <v>44561</v>
          </cell>
          <cell r="M123">
            <v>286653120</v>
          </cell>
          <cell r="N123">
            <v>65</v>
          </cell>
          <cell r="O123">
            <v>62558080</v>
          </cell>
          <cell r="P123" t="str">
            <v>063-21</v>
          </cell>
          <cell r="Q123">
            <v>349211200</v>
          </cell>
          <cell r="R123" t="str">
            <v>085-21</v>
          </cell>
          <cell r="S123">
            <v>62558080</v>
          </cell>
          <cell r="T123"/>
          <cell r="U123"/>
          <cell r="V123"/>
          <cell r="W123">
            <v>5570240</v>
          </cell>
          <cell r="X123">
            <v>56987840</v>
          </cell>
          <cell r="Y123"/>
          <cell r="Z123">
            <v>56987840</v>
          </cell>
          <cell r="AA123"/>
          <cell r="AB123">
            <v>0</v>
          </cell>
          <cell r="AC123" t="str">
            <v>saldo a liberar</v>
          </cell>
          <cell r="AD123"/>
        </row>
        <row r="124">
          <cell r="H124">
            <v>3782021</v>
          </cell>
          <cell r="I124" t="str">
            <v xml:space="preserve">PAULA TERESA GARCIA MACHADO </v>
          </cell>
          <cell r="J124">
            <v>1069712195</v>
          </cell>
          <cell r="K124">
            <v>44291</v>
          </cell>
          <cell r="L124">
            <v>44561</v>
          </cell>
          <cell r="M124">
            <v>285796160</v>
          </cell>
          <cell r="N124">
            <v>65</v>
          </cell>
          <cell r="O124">
            <v>63415040</v>
          </cell>
          <cell r="P124" t="str">
            <v>063-21</v>
          </cell>
          <cell r="Q124">
            <v>349211200</v>
          </cell>
          <cell r="R124" t="str">
            <v>083-21</v>
          </cell>
          <cell r="S124">
            <v>63415040</v>
          </cell>
          <cell r="T124"/>
          <cell r="U124"/>
          <cell r="V124"/>
          <cell r="W124">
            <v>6427200</v>
          </cell>
          <cell r="X124">
            <v>56987840</v>
          </cell>
          <cell r="Y124"/>
          <cell r="Z124">
            <v>56987840</v>
          </cell>
          <cell r="AA124"/>
          <cell r="AB124">
            <v>0</v>
          </cell>
          <cell r="AC124" t="str">
            <v>saldo a liberar</v>
          </cell>
          <cell r="AD124"/>
        </row>
        <row r="125">
          <cell r="H125">
            <v>486</v>
          </cell>
          <cell r="I125" t="str">
            <v xml:space="preserve">NESTOR JAVIER ORTIZ ORTIZ </v>
          </cell>
          <cell r="J125">
            <v>80371052</v>
          </cell>
          <cell r="K125">
            <v>44348</v>
          </cell>
          <cell r="L125">
            <v>44561</v>
          </cell>
          <cell r="M125">
            <v>133975680</v>
          </cell>
          <cell r="N125">
            <v>94</v>
          </cell>
          <cell r="O125">
            <v>62488800</v>
          </cell>
          <cell r="P125" t="str">
            <v>093-21</v>
          </cell>
          <cell r="Q125">
            <v>196464480</v>
          </cell>
          <cell r="R125" t="str">
            <v>096-21</v>
          </cell>
          <cell r="S125">
            <v>62488800</v>
          </cell>
          <cell r="T125"/>
          <cell r="U125"/>
          <cell r="V125"/>
          <cell r="W125">
            <v>240320</v>
          </cell>
          <cell r="X125">
            <v>62248480</v>
          </cell>
          <cell r="Y125"/>
          <cell r="Z125">
            <v>52488800</v>
          </cell>
          <cell r="AA125">
            <v>9759680</v>
          </cell>
          <cell r="AB125">
            <v>0</v>
          </cell>
          <cell r="AC125" t="str">
            <v>saldo a liberar</v>
          </cell>
          <cell r="AD125"/>
        </row>
        <row r="126">
          <cell r="H126">
            <v>4892021</v>
          </cell>
          <cell r="I126" t="str">
            <v xml:space="preserve">BLANCA CRISTINA VARGAS HERNANDEZ </v>
          </cell>
          <cell r="J126">
            <v>52186429</v>
          </cell>
          <cell r="K126">
            <v>44362</v>
          </cell>
          <cell r="L126">
            <v>44561</v>
          </cell>
          <cell r="M126">
            <v>96166667</v>
          </cell>
          <cell r="N126">
            <v>95</v>
          </cell>
          <cell r="O126">
            <v>44833333</v>
          </cell>
          <cell r="P126" t="str">
            <v>094-21</v>
          </cell>
          <cell r="Q126">
            <v>141000000</v>
          </cell>
          <cell r="R126" t="str">
            <v>098-21</v>
          </cell>
          <cell r="S126">
            <v>44833333</v>
          </cell>
          <cell r="T126"/>
          <cell r="U126"/>
          <cell r="V126"/>
          <cell r="W126">
            <v>8417167</v>
          </cell>
          <cell r="X126">
            <v>36416166</v>
          </cell>
          <cell r="Y126"/>
          <cell r="Z126">
            <v>32666667</v>
          </cell>
          <cell r="AA126">
            <v>3749499</v>
          </cell>
          <cell r="AB126">
            <v>0</v>
          </cell>
          <cell r="AC126" t="str">
            <v>saldo a liberar</v>
          </cell>
          <cell r="AD126"/>
        </row>
        <row r="127">
          <cell r="H127">
            <v>4802021</v>
          </cell>
          <cell r="I127" t="str">
            <v>MARIA MAGDALENA PERLAZA ARREDONDO</v>
          </cell>
          <cell r="J127">
            <v>30399696</v>
          </cell>
          <cell r="K127">
            <v>44357</v>
          </cell>
          <cell r="L127">
            <v>44561</v>
          </cell>
          <cell r="M127">
            <v>95000000</v>
          </cell>
          <cell r="N127">
            <v>95</v>
          </cell>
          <cell r="O127">
            <v>46000000</v>
          </cell>
          <cell r="P127" t="str">
            <v>094-21</v>
          </cell>
          <cell r="Q127">
            <v>141000000</v>
          </cell>
          <cell r="R127" t="str">
            <v>097-21</v>
          </cell>
          <cell r="S127">
            <v>46000000</v>
          </cell>
          <cell r="T127"/>
          <cell r="U127"/>
          <cell r="V127"/>
          <cell r="W127">
            <v>4913572</v>
          </cell>
          <cell r="X127">
            <v>41086428</v>
          </cell>
          <cell r="Y127"/>
          <cell r="Z127">
            <v>33500000</v>
          </cell>
          <cell r="AA127">
            <v>7586428</v>
          </cell>
          <cell r="AB127">
            <v>0</v>
          </cell>
          <cell r="AC127" t="str">
            <v>saldo a liberar</v>
          </cell>
          <cell r="AD127"/>
        </row>
        <row r="128">
          <cell r="H128">
            <v>490</v>
          </cell>
          <cell r="I128" t="str">
            <v>MARIA ISABEL BUITRAGO CAMARGO</v>
          </cell>
          <cell r="J128">
            <v>52047490</v>
          </cell>
          <cell r="K128">
            <v>44355</v>
          </cell>
          <cell r="L128">
            <v>44561</v>
          </cell>
          <cell r="M128">
            <v>96000000</v>
          </cell>
          <cell r="N128">
            <v>95</v>
          </cell>
          <cell r="O128">
            <v>45000000</v>
          </cell>
          <cell r="P128" t="str">
            <v>094-21</v>
          </cell>
          <cell r="Q128">
            <v>141000000</v>
          </cell>
          <cell r="R128" t="str">
            <v>100-21</v>
          </cell>
          <cell r="S128">
            <v>45000000</v>
          </cell>
          <cell r="T128"/>
          <cell r="U128"/>
          <cell r="V128"/>
          <cell r="W128">
            <v>4615863</v>
          </cell>
          <cell r="X128">
            <v>40384137</v>
          </cell>
          <cell r="Y128"/>
          <cell r="Z128">
            <v>33833333</v>
          </cell>
          <cell r="AA128">
            <v>6550804</v>
          </cell>
          <cell r="AB128">
            <v>0</v>
          </cell>
          <cell r="AC128" t="str">
            <v>saldo a liberar</v>
          </cell>
          <cell r="AD128"/>
        </row>
        <row r="129">
          <cell r="H129">
            <v>4712021</v>
          </cell>
          <cell r="I129" t="str">
            <v>EDWIN ARIEL ORTIZ FERNANDEZ</v>
          </cell>
          <cell r="J129">
            <v>80503247</v>
          </cell>
          <cell r="K129">
            <v>44358</v>
          </cell>
          <cell r="L129">
            <v>44561</v>
          </cell>
          <cell r="M129">
            <v>132476000</v>
          </cell>
          <cell r="N129">
            <v>94</v>
          </cell>
          <cell r="O129">
            <v>63988480</v>
          </cell>
          <cell r="P129" t="str">
            <v>093-21</v>
          </cell>
          <cell r="Q129">
            <v>196464480</v>
          </cell>
          <cell r="R129" t="str">
            <v>094-21</v>
          </cell>
          <cell r="S129">
            <v>63988480</v>
          </cell>
          <cell r="T129"/>
          <cell r="U129"/>
          <cell r="V129"/>
          <cell r="W129">
            <v>9649658</v>
          </cell>
          <cell r="X129">
            <v>54338822</v>
          </cell>
          <cell r="Y129"/>
          <cell r="Z129">
            <v>54338822</v>
          </cell>
          <cell r="AA129"/>
          <cell r="AB129">
            <v>0</v>
          </cell>
          <cell r="AC129" t="str">
            <v>saldo a liberar</v>
          </cell>
          <cell r="AD129"/>
        </row>
        <row r="130">
          <cell r="H130">
            <v>4922021</v>
          </cell>
          <cell r="I130" t="str">
            <v xml:space="preserve">WALTER HERNANDEZ MEJIA  </v>
          </cell>
          <cell r="J130">
            <v>19154021</v>
          </cell>
          <cell r="K130">
            <v>44358</v>
          </cell>
          <cell r="L130">
            <v>44561</v>
          </cell>
          <cell r="M130">
            <v>4499040</v>
          </cell>
          <cell r="N130">
            <v>97</v>
          </cell>
          <cell r="O130">
            <v>53062240</v>
          </cell>
          <cell r="P130" t="str">
            <v xml:space="preserve">095-21 </v>
          </cell>
          <cell r="Q130">
            <v>57561280</v>
          </cell>
          <cell r="R130" t="str">
            <v>101-21</v>
          </cell>
          <cell r="S130">
            <v>53062240</v>
          </cell>
          <cell r="T130"/>
          <cell r="U130"/>
          <cell r="V130"/>
          <cell r="W130">
            <v>5614399</v>
          </cell>
          <cell r="X130">
            <v>47447841</v>
          </cell>
          <cell r="Y130"/>
          <cell r="Z130">
            <v>42848000</v>
          </cell>
          <cell r="AA130">
            <v>4599841</v>
          </cell>
          <cell r="AB130">
            <v>0</v>
          </cell>
          <cell r="AC130"/>
          <cell r="AD130"/>
        </row>
        <row r="131">
          <cell r="H131">
            <v>5192021</v>
          </cell>
          <cell r="I131" t="str">
            <v xml:space="preserve">MARIA MARLENY ARBOLEDA URREGO </v>
          </cell>
          <cell r="J131">
            <v>38262488</v>
          </cell>
          <cell r="K131">
            <v>44399</v>
          </cell>
          <cell r="L131">
            <v>44561</v>
          </cell>
          <cell r="M131">
            <v>0</v>
          </cell>
          <cell r="N131">
            <v>106</v>
          </cell>
          <cell r="O131">
            <v>46750000</v>
          </cell>
          <cell r="P131" t="str">
            <v>103-21</v>
          </cell>
          <cell r="Q131">
            <v>46750000</v>
          </cell>
          <cell r="R131" t="str">
            <v>106-21</v>
          </cell>
          <cell r="S131">
            <v>46750000</v>
          </cell>
          <cell r="T131"/>
          <cell r="U131"/>
          <cell r="V131"/>
          <cell r="W131">
            <v>1416667</v>
          </cell>
          <cell r="X131">
            <v>45333333</v>
          </cell>
          <cell r="Y131"/>
          <cell r="Z131">
            <v>45333333</v>
          </cell>
          <cell r="AA131"/>
          <cell r="AB131">
            <v>0</v>
          </cell>
          <cell r="AC131" t="str">
            <v>saldo a liberar</v>
          </cell>
          <cell r="AD131"/>
        </row>
        <row r="132">
          <cell r="H132">
            <v>5022021</v>
          </cell>
          <cell r="I132" t="str">
            <v>MARIA DANIELA CASTAÑO DE LA TORRE</v>
          </cell>
          <cell r="J132">
            <v>1088292981</v>
          </cell>
          <cell r="K132">
            <v>44371</v>
          </cell>
          <cell r="L132">
            <v>44561</v>
          </cell>
          <cell r="M132">
            <v>856960</v>
          </cell>
          <cell r="N132">
            <v>101</v>
          </cell>
          <cell r="O132">
            <v>39848640</v>
          </cell>
          <cell r="P132" t="str">
            <v>099-21</v>
          </cell>
          <cell r="Q132">
            <v>40705600</v>
          </cell>
          <cell r="R132" t="str">
            <v>103-21</v>
          </cell>
          <cell r="S132">
            <v>39848640</v>
          </cell>
          <cell r="T132"/>
          <cell r="U132"/>
          <cell r="V132"/>
          <cell r="W132">
            <v>2570880</v>
          </cell>
          <cell r="X132">
            <v>37277760</v>
          </cell>
          <cell r="Y132"/>
          <cell r="Z132">
            <v>37277760</v>
          </cell>
          <cell r="AA132"/>
          <cell r="AB132">
            <v>0</v>
          </cell>
          <cell r="AC132" t="str">
            <v>saldo a liberar</v>
          </cell>
          <cell r="AD132"/>
        </row>
        <row r="133">
          <cell r="H133">
            <v>5172021</v>
          </cell>
          <cell r="I133" t="str">
            <v>ANGELA PATRICIA RAMIREZ PUENTES</v>
          </cell>
          <cell r="J133">
            <v>53160492</v>
          </cell>
          <cell r="K133">
            <v>44390</v>
          </cell>
          <cell r="L133">
            <v>44561</v>
          </cell>
          <cell r="M133">
            <v>2866667</v>
          </cell>
          <cell r="N133">
            <v>104</v>
          </cell>
          <cell r="O133">
            <v>48733333</v>
          </cell>
          <cell r="P133" t="str">
            <v>102-21</v>
          </cell>
          <cell r="Q133">
            <v>51600000</v>
          </cell>
          <cell r="R133" t="str">
            <v>105-21</v>
          </cell>
          <cell r="S133">
            <v>48733333</v>
          </cell>
          <cell r="T133"/>
          <cell r="U133"/>
          <cell r="V133"/>
          <cell r="W133">
            <v>286666</v>
          </cell>
          <cell r="X133">
            <v>48446667</v>
          </cell>
          <cell r="Y133"/>
          <cell r="Z133">
            <v>48446667</v>
          </cell>
          <cell r="AA133"/>
          <cell r="AB133">
            <v>0</v>
          </cell>
          <cell r="AC133" t="str">
            <v>saldo a liberar</v>
          </cell>
          <cell r="AD133"/>
        </row>
        <row r="134">
          <cell r="H134">
            <v>5592021</v>
          </cell>
          <cell r="I134" t="str">
            <v>EDWIN JOHANN CALVO FONSECA</v>
          </cell>
          <cell r="J134">
            <v>1051815327</v>
          </cell>
          <cell r="K134">
            <v>44442</v>
          </cell>
          <cell r="L134">
            <v>44561</v>
          </cell>
          <cell r="M134">
            <v>856960</v>
          </cell>
          <cell r="N134">
            <v>123</v>
          </cell>
          <cell r="O134">
            <v>26994240</v>
          </cell>
          <cell r="P134" t="str">
            <v>121-21</v>
          </cell>
          <cell r="Q134">
            <v>27851200</v>
          </cell>
          <cell r="R134" t="str">
            <v>120-21</v>
          </cell>
          <cell r="S134">
            <v>26994240</v>
          </cell>
          <cell r="T134"/>
          <cell r="U134"/>
          <cell r="V134"/>
          <cell r="W134">
            <v>1713920</v>
          </cell>
          <cell r="X134">
            <v>25280320</v>
          </cell>
          <cell r="Y134"/>
          <cell r="Z134">
            <v>25280320</v>
          </cell>
          <cell r="AA134"/>
          <cell r="AB134">
            <v>0</v>
          </cell>
          <cell r="AC134" t="str">
            <v>saldo a liberar</v>
          </cell>
          <cell r="AD134"/>
        </row>
        <row r="135">
          <cell r="H135">
            <v>5402021</v>
          </cell>
          <cell r="I135" t="str">
            <v>MANUEL ENRIQUE GOMEZ CAMARGO</v>
          </cell>
          <cell r="J135">
            <v>73569541</v>
          </cell>
          <cell r="K135">
            <v>44414</v>
          </cell>
          <cell r="L135">
            <v>44561</v>
          </cell>
          <cell r="M135">
            <v>4070560</v>
          </cell>
          <cell r="N135">
            <v>105</v>
          </cell>
          <cell r="O135">
            <v>31279040</v>
          </cell>
          <cell r="P135" t="str">
            <v>104-21</v>
          </cell>
          <cell r="Q135">
            <v>35349600</v>
          </cell>
          <cell r="R135" t="str">
            <v>116-21</v>
          </cell>
          <cell r="S135">
            <v>31279040</v>
          </cell>
          <cell r="T135"/>
          <cell r="U135"/>
          <cell r="V135"/>
          <cell r="W135"/>
          <cell r="X135">
            <v>31279040</v>
          </cell>
          <cell r="Y135"/>
          <cell r="Z135">
            <v>31279040</v>
          </cell>
          <cell r="AA135"/>
          <cell r="AB135">
            <v>0</v>
          </cell>
          <cell r="AC135"/>
          <cell r="AD135"/>
        </row>
        <row r="136">
          <cell r="H136"/>
          <cell r="I136"/>
          <cell r="J136"/>
          <cell r="K136"/>
          <cell r="L136"/>
          <cell r="M136"/>
          <cell r="N136"/>
          <cell r="O136">
            <v>2068178426</v>
          </cell>
          <cell r="P136"/>
          <cell r="Q136">
            <v>4070500693</v>
          </cell>
          <cell r="R136"/>
          <cell r="S136">
            <v>2068178426</v>
          </cell>
          <cell r="T136"/>
          <cell r="U136"/>
          <cell r="V136">
            <v>20000000</v>
          </cell>
          <cell r="W136">
            <v>84352846</v>
          </cell>
          <cell r="X136">
            <v>2003825580</v>
          </cell>
          <cell r="Y136">
            <v>1114767195.2800002</v>
          </cell>
          <cell r="Z136">
            <v>1960215581</v>
          </cell>
          <cell r="AA136">
            <v>43609999</v>
          </cell>
          <cell r="AB136">
            <v>0</v>
          </cell>
          <cell r="AC136"/>
          <cell r="AD136"/>
        </row>
        <row r="137">
          <cell r="H137">
            <v>3752021</v>
          </cell>
          <cell r="I137" t="str">
            <v>FIDUCIARIA LA PREVISORA</v>
          </cell>
          <cell r="J137">
            <v>860525148</v>
          </cell>
          <cell r="K137">
            <v>44197</v>
          </cell>
          <cell r="L137">
            <v>44408</v>
          </cell>
          <cell r="M137">
            <v>0</v>
          </cell>
          <cell r="N137"/>
          <cell r="O137">
            <v>1453539990</v>
          </cell>
          <cell r="P137" t="str">
            <v>002-21</v>
          </cell>
          <cell r="Q137">
            <v>1453539990</v>
          </cell>
          <cell r="R137" t="str">
            <v>002-21</v>
          </cell>
          <cell r="S137">
            <v>1453539990</v>
          </cell>
          <cell r="T137"/>
          <cell r="U137"/>
          <cell r="V137"/>
          <cell r="W137"/>
          <cell r="X137">
            <v>1453539990</v>
          </cell>
          <cell r="Y137">
            <v>1241421682</v>
          </cell>
          <cell r="Z137">
            <v>1453539990</v>
          </cell>
          <cell r="AA137"/>
          <cell r="AB137">
            <v>0</v>
          </cell>
          <cell r="AC137"/>
          <cell r="AD137"/>
        </row>
        <row r="138">
          <cell r="H138">
            <v>4242021</v>
          </cell>
          <cell r="I138" t="str">
            <v xml:space="preserve">AMÉZQUITA &amp; CÍA </v>
          </cell>
          <cell r="J138">
            <v>860023380</v>
          </cell>
          <cell r="K138">
            <v>44197</v>
          </cell>
          <cell r="L138">
            <v>44408</v>
          </cell>
          <cell r="M138">
            <v>0</v>
          </cell>
          <cell r="N138"/>
          <cell r="O138">
            <v>452269076</v>
          </cell>
          <cell r="P138" t="str">
            <v>003-21</v>
          </cell>
          <cell r="Q138">
            <v>452269076</v>
          </cell>
          <cell r="R138" t="str">
            <v>003-21</v>
          </cell>
          <cell r="S138">
            <v>452269076</v>
          </cell>
          <cell r="T138"/>
          <cell r="U138"/>
          <cell r="V138"/>
          <cell r="W138"/>
          <cell r="X138">
            <v>452269076</v>
          </cell>
          <cell r="Y138"/>
          <cell r="Z138">
            <v>452269076</v>
          </cell>
          <cell r="AA138"/>
          <cell r="AB138">
            <v>0</v>
          </cell>
          <cell r="AC138"/>
          <cell r="AD138"/>
        </row>
        <row r="139">
          <cell r="H139">
            <v>102021</v>
          </cell>
          <cell r="I139" t="str">
            <v>LEONARDO PLAZAS BETANCOURT</v>
          </cell>
          <cell r="J139">
            <v>80009945</v>
          </cell>
          <cell r="K139">
            <v>44201</v>
          </cell>
          <cell r="L139">
            <v>44561</v>
          </cell>
          <cell r="M139">
            <v>800000</v>
          </cell>
          <cell r="N139">
            <v>10</v>
          </cell>
          <cell r="O139">
            <v>95200000</v>
          </cell>
          <cell r="P139" t="str">
            <v>010-21</v>
          </cell>
          <cell r="Q139">
            <v>96000000</v>
          </cell>
          <cell r="R139" t="str">
            <v>009-21</v>
          </cell>
          <cell r="S139">
            <v>95200000</v>
          </cell>
          <cell r="T139"/>
          <cell r="U139"/>
          <cell r="V139"/>
          <cell r="W139">
            <v>266667</v>
          </cell>
          <cell r="X139">
            <v>94933333</v>
          </cell>
          <cell r="Y139"/>
          <cell r="Z139">
            <v>94933333</v>
          </cell>
          <cell r="AA139"/>
          <cell r="AB139">
            <v>0</v>
          </cell>
          <cell r="AC139" t="str">
            <v>saldo a liberar</v>
          </cell>
          <cell r="AD139"/>
        </row>
        <row r="140">
          <cell r="H140">
            <v>62021</v>
          </cell>
          <cell r="I140" t="str">
            <v>ALIX DEL PILAR SEPULVEDA</v>
          </cell>
          <cell r="J140">
            <v>52088314</v>
          </cell>
          <cell r="K140">
            <v>44202</v>
          </cell>
          <cell r="L140">
            <v>44561</v>
          </cell>
          <cell r="M140">
            <v>1165960</v>
          </cell>
          <cell r="N140">
            <v>6</v>
          </cell>
          <cell r="O140">
            <v>138749240</v>
          </cell>
          <cell r="P140" t="str">
            <v>006-21</v>
          </cell>
          <cell r="Q140">
            <v>139915200</v>
          </cell>
          <cell r="R140" t="str">
            <v>005-21</v>
          </cell>
          <cell r="S140">
            <v>138749240</v>
          </cell>
          <cell r="T140"/>
          <cell r="U140"/>
          <cell r="V140"/>
          <cell r="W140">
            <v>777307</v>
          </cell>
          <cell r="X140">
            <v>137971933</v>
          </cell>
          <cell r="Y140"/>
          <cell r="Z140">
            <v>137971933</v>
          </cell>
          <cell r="AA140"/>
          <cell r="AB140">
            <v>0</v>
          </cell>
          <cell r="AC140" t="str">
            <v>saldo a liberar</v>
          </cell>
          <cell r="AD140"/>
        </row>
        <row r="141">
          <cell r="H141">
            <v>72021</v>
          </cell>
          <cell r="I141" t="str">
            <v>EDGAR ANDRES GOMEZ LOPEZ</v>
          </cell>
          <cell r="J141">
            <v>79959007</v>
          </cell>
          <cell r="K141">
            <v>44203</v>
          </cell>
          <cell r="L141">
            <v>44561</v>
          </cell>
          <cell r="M141">
            <v>932000</v>
          </cell>
          <cell r="N141">
            <v>7</v>
          </cell>
          <cell r="O141">
            <v>110908000</v>
          </cell>
          <cell r="P141" t="str">
            <v>007-21</v>
          </cell>
          <cell r="Q141">
            <v>111840000</v>
          </cell>
          <cell r="R141" t="str">
            <v>006-21</v>
          </cell>
          <cell r="S141">
            <v>110908000</v>
          </cell>
          <cell r="T141"/>
          <cell r="U141"/>
          <cell r="V141"/>
          <cell r="W141">
            <v>621333</v>
          </cell>
          <cell r="X141">
            <v>110286667</v>
          </cell>
          <cell r="Y141"/>
          <cell r="Z141">
            <v>110286667</v>
          </cell>
          <cell r="AA141"/>
          <cell r="AB141">
            <v>0</v>
          </cell>
          <cell r="AC141" t="str">
            <v>saldo a liberar</v>
          </cell>
          <cell r="AD141"/>
        </row>
        <row r="142">
          <cell r="H142">
            <v>82021</v>
          </cell>
          <cell r="I142" t="str">
            <v xml:space="preserve">JULIAN DAVID PEÑA </v>
          </cell>
          <cell r="J142">
            <v>80167701</v>
          </cell>
          <cell r="K142">
            <v>44201</v>
          </cell>
          <cell r="L142">
            <v>44561</v>
          </cell>
          <cell r="M142">
            <v>900000</v>
          </cell>
          <cell r="N142">
            <v>8</v>
          </cell>
          <cell r="O142">
            <v>107100000</v>
          </cell>
          <cell r="P142" t="str">
            <v>008-21</v>
          </cell>
          <cell r="Q142">
            <v>108000000</v>
          </cell>
          <cell r="R142" t="str">
            <v>007-21</v>
          </cell>
          <cell r="S142">
            <v>107100000</v>
          </cell>
          <cell r="T142"/>
          <cell r="U142"/>
          <cell r="V142"/>
          <cell r="W142">
            <v>300000</v>
          </cell>
          <cell r="X142">
            <v>106800000</v>
          </cell>
          <cell r="Y142"/>
          <cell r="Z142">
            <v>106800000</v>
          </cell>
          <cell r="AA142"/>
          <cell r="AB142">
            <v>0</v>
          </cell>
          <cell r="AC142" t="str">
            <v>saldo a liberar</v>
          </cell>
          <cell r="AD142"/>
        </row>
        <row r="143">
          <cell r="H143">
            <v>92021</v>
          </cell>
          <cell r="I143" t="str">
            <v xml:space="preserve">HELENA PEÑA </v>
          </cell>
          <cell r="J143">
            <v>52482091</v>
          </cell>
          <cell r="K143">
            <v>44201</v>
          </cell>
          <cell r="L143">
            <v>44561</v>
          </cell>
          <cell r="M143">
            <v>800000</v>
          </cell>
          <cell r="N143">
            <v>9</v>
          </cell>
          <cell r="O143">
            <v>95200000</v>
          </cell>
          <cell r="P143" t="str">
            <v>009-21</v>
          </cell>
          <cell r="Q143">
            <v>96000000</v>
          </cell>
          <cell r="R143" t="str">
            <v>008-21</v>
          </cell>
          <cell r="S143">
            <v>95200000</v>
          </cell>
          <cell r="T143"/>
          <cell r="U143"/>
          <cell r="V143"/>
          <cell r="W143">
            <v>266667</v>
          </cell>
          <cell r="X143">
            <v>94933333</v>
          </cell>
          <cell r="Y143"/>
          <cell r="Z143">
            <v>94933333</v>
          </cell>
          <cell r="AA143"/>
          <cell r="AB143">
            <v>0</v>
          </cell>
          <cell r="AC143" t="str">
            <v>saldo a liberar</v>
          </cell>
          <cell r="AD143"/>
        </row>
        <row r="144">
          <cell r="H144">
            <v>112021</v>
          </cell>
          <cell r="I144" t="str">
            <v>JOSE DEL CRISTO RAMIREZ</v>
          </cell>
          <cell r="J144">
            <v>19453452</v>
          </cell>
          <cell r="K144">
            <v>44201</v>
          </cell>
          <cell r="L144">
            <v>44561</v>
          </cell>
          <cell r="M144">
            <v>8580000</v>
          </cell>
          <cell r="N144">
            <v>11</v>
          </cell>
          <cell r="O144">
            <v>107100000</v>
          </cell>
          <cell r="P144" t="str">
            <v>011-21</v>
          </cell>
          <cell r="Q144">
            <v>115680000</v>
          </cell>
          <cell r="R144" t="str">
            <v>010-21</v>
          </cell>
          <cell r="S144">
            <v>107100000</v>
          </cell>
          <cell r="T144"/>
          <cell r="U144"/>
          <cell r="V144"/>
          <cell r="W144">
            <v>2100000</v>
          </cell>
          <cell r="X144">
            <v>105000000</v>
          </cell>
          <cell r="Y144"/>
          <cell r="Z144">
            <v>105000000</v>
          </cell>
          <cell r="AA144"/>
          <cell r="AB144">
            <v>0</v>
          </cell>
          <cell r="AC144" t="str">
            <v>saldo a liberar</v>
          </cell>
          <cell r="AD144"/>
        </row>
        <row r="145">
          <cell r="H145">
            <v>122021</v>
          </cell>
          <cell r="I145" t="str">
            <v>PABLO ARISTOBULO SIERRA LEON</v>
          </cell>
          <cell r="J145">
            <v>19415387</v>
          </cell>
          <cell r="K145">
            <v>44201</v>
          </cell>
          <cell r="L145">
            <v>44561</v>
          </cell>
          <cell r="M145">
            <v>0</v>
          </cell>
          <cell r="N145">
            <v>12</v>
          </cell>
          <cell r="O145">
            <v>72800000</v>
          </cell>
          <cell r="P145" t="str">
            <v>012-21</v>
          </cell>
          <cell r="Q145">
            <v>72800000</v>
          </cell>
          <cell r="R145" t="str">
            <v>011-21</v>
          </cell>
          <cell r="S145">
            <v>72800000</v>
          </cell>
          <cell r="T145"/>
          <cell r="U145"/>
          <cell r="V145"/>
          <cell r="W145"/>
          <cell r="X145">
            <v>72800000</v>
          </cell>
          <cell r="Y145"/>
          <cell r="Z145">
            <v>72800000</v>
          </cell>
          <cell r="AA145"/>
          <cell r="AB145">
            <v>0</v>
          </cell>
          <cell r="AC145"/>
          <cell r="AD145"/>
        </row>
        <row r="146">
          <cell r="H146">
            <v>752021</v>
          </cell>
          <cell r="I146" t="str">
            <v>EDUARDO ENRIQUE ESTRADA GAVIRIA</v>
          </cell>
          <cell r="J146">
            <v>72003499</v>
          </cell>
          <cell r="K146">
            <v>44217</v>
          </cell>
          <cell r="L146">
            <v>44561</v>
          </cell>
          <cell r="M146">
            <v>0</v>
          </cell>
          <cell r="N146">
            <v>22</v>
          </cell>
          <cell r="O146">
            <v>110158500</v>
          </cell>
          <cell r="P146" t="str">
            <v>020-21</v>
          </cell>
          <cell r="Q146">
            <v>110158500</v>
          </cell>
          <cell r="R146" t="str">
            <v>023-21</v>
          </cell>
          <cell r="S146">
            <v>110158500</v>
          </cell>
          <cell r="T146"/>
          <cell r="U146"/>
          <cell r="V146"/>
          <cell r="W146">
            <v>1596500</v>
          </cell>
          <cell r="X146">
            <v>108562000</v>
          </cell>
          <cell r="Y146"/>
          <cell r="Z146">
            <v>108562000</v>
          </cell>
          <cell r="AA146"/>
          <cell r="AB146">
            <v>0</v>
          </cell>
          <cell r="AC146" t="str">
            <v>saldo a liberar</v>
          </cell>
          <cell r="AD146"/>
        </row>
        <row r="147">
          <cell r="H147">
            <v>332021</v>
          </cell>
          <cell r="I147" t="str">
            <v>GRISELDA  USECHE MEDINA</v>
          </cell>
          <cell r="J147">
            <v>41750115</v>
          </cell>
          <cell r="K147">
            <v>44211</v>
          </cell>
          <cell r="L147">
            <v>44561</v>
          </cell>
          <cell r="M147">
            <v>0</v>
          </cell>
          <cell r="N147">
            <v>21</v>
          </cell>
          <cell r="O147">
            <v>110869200</v>
          </cell>
          <cell r="P147" t="str">
            <v>019-21</v>
          </cell>
          <cell r="Q147">
            <v>110869200</v>
          </cell>
          <cell r="R147" t="str">
            <v>016-21</v>
          </cell>
          <cell r="S147">
            <v>110869200</v>
          </cell>
          <cell r="T147"/>
          <cell r="U147"/>
          <cell r="V147"/>
          <cell r="W147">
            <v>14461200</v>
          </cell>
          <cell r="X147">
            <v>96408000</v>
          </cell>
          <cell r="Y147"/>
          <cell r="Z147">
            <v>71984640</v>
          </cell>
          <cell r="AA147"/>
          <cell r="AB147">
            <v>24423360</v>
          </cell>
          <cell r="AC147"/>
          <cell r="AD147"/>
        </row>
        <row r="148">
          <cell r="H148">
            <v>192021</v>
          </cell>
          <cell r="I148" t="str">
            <v>YUDI VIVIANA MINA CHARA</v>
          </cell>
          <cell r="J148">
            <v>1062283645</v>
          </cell>
          <cell r="K148">
            <v>44207</v>
          </cell>
          <cell r="L148">
            <v>44561</v>
          </cell>
          <cell r="M148">
            <v>714133</v>
          </cell>
          <cell r="N148">
            <v>13</v>
          </cell>
          <cell r="O148">
            <v>62486667</v>
          </cell>
          <cell r="P148" t="str">
            <v>013-21</v>
          </cell>
          <cell r="Q148">
            <v>63200800</v>
          </cell>
          <cell r="R148" t="str">
            <v>012-21</v>
          </cell>
          <cell r="S148">
            <v>62486667</v>
          </cell>
          <cell r="T148"/>
          <cell r="U148"/>
          <cell r="V148"/>
          <cell r="W148">
            <v>178534</v>
          </cell>
          <cell r="X148">
            <v>62308133</v>
          </cell>
          <cell r="Y148"/>
          <cell r="Z148">
            <v>62308133</v>
          </cell>
          <cell r="AA148"/>
          <cell r="AB148">
            <v>0</v>
          </cell>
          <cell r="AC148" t="str">
            <v>saldo a liberar</v>
          </cell>
          <cell r="AD148"/>
        </row>
        <row r="149">
          <cell r="H149">
            <v>512021</v>
          </cell>
          <cell r="I149" t="str">
            <v>ELVIRA DEL PILAR FORERO HERNANDEZ</v>
          </cell>
          <cell r="J149">
            <v>66822138</v>
          </cell>
          <cell r="K149">
            <v>44216</v>
          </cell>
          <cell r="L149">
            <v>44561</v>
          </cell>
          <cell r="M149">
            <v>0</v>
          </cell>
          <cell r="N149">
            <v>26</v>
          </cell>
          <cell r="O149">
            <v>119140000</v>
          </cell>
          <cell r="P149" t="str">
            <v>023-21</v>
          </cell>
          <cell r="Q149">
            <v>119140000</v>
          </cell>
          <cell r="R149" t="str">
            <v>020-21</v>
          </cell>
          <cell r="S149">
            <v>119140000</v>
          </cell>
          <cell r="T149"/>
          <cell r="U149"/>
          <cell r="V149"/>
          <cell r="W149">
            <v>73556000</v>
          </cell>
          <cell r="X149">
            <v>45584000</v>
          </cell>
          <cell r="Y149"/>
          <cell r="Z149">
            <v>45584000</v>
          </cell>
          <cell r="AA149"/>
          <cell r="AB149">
            <v>0</v>
          </cell>
          <cell r="AC149"/>
          <cell r="AD149"/>
        </row>
        <row r="150">
          <cell r="H150">
            <v>1612021</v>
          </cell>
          <cell r="I150" t="str">
            <v>MARIA EDITH FINDLAY SOTO</v>
          </cell>
          <cell r="J150">
            <v>40758521</v>
          </cell>
          <cell r="K150">
            <v>44228</v>
          </cell>
          <cell r="L150">
            <v>44561</v>
          </cell>
          <cell r="M150">
            <v>1516667</v>
          </cell>
          <cell r="N150">
            <v>40</v>
          </cell>
          <cell r="O150">
            <v>71500000</v>
          </cell>
          <cell r="P150" t="str">
            <v>035-21</v>
          </cell>
          <cell r="Q150">
            <v>73016667</v>
          </cell>
          <cell r="R150" t="str">
            <v>037-21</v>
          </cell>
          <cell r="S150">
            <v>71500000</v>
          </cell>
          <cell r="T150"/>
          <cell r="U150"/>
          <cell r="V150"/>
          <cell r="W150"/>
          <cell r="X150">
            <v>71500000</v>
          </cell>
          <cell r="Y150"/>
          <cell r="Z150">
            <v>71500000</v>
          </cell>
          <cell r="AA150"/>
          <cell r="AB150">
            <v>0</v>
          </cell>
          <cell r="AC150"/>
          <cell r="AD150"/>
        </row>
        <row r="151">
          <cell r="H151">
            <v>2412021</v>
          </cell>
          <cell r="I151" t="str">
            <v>LUIS GABRIEL ARBELAEZ MARIN</v>
          </cell>
          <cell r="J151">
            <v>74181494</v>
          </cell>
          <cell r="K151">
            <v>44236</v>
          </cell>
          <cell r="L151">
            <v>44355</v>
          </cell>
          <cell r="M151">
            <v>0</v>
          </cell>
          <cell r="N151">
            <v>61</v>
          </cell>
          <cell r="O151">
            <v>79310000</v>
          </cell>
          <cell r="P151" t="str">
            <v>054-21</v>
          </cell>
          <cell r="Q151">
            <v>79310000</v>
          </cell>
          <cell r="R151" t="str">
            <v>056-21</v>
          </cell>
          <cell r="S151">
            <v>79310000</v>
          </cell>
          <cell r="T151"/>
          <cell r="U151"/>
          <cell r="V151"/>
          <cell r="W151">
            <v>72580667</v>
          </cell>
          <cell r="X151">
            <v>6729333</v>
          </cell>
          <cell r="Y151"/>
          <cell r="Z151">
            <v>6729333</v>
          </cell>
          <cell r="AA151"/>
          <cell r="AB151">
            <v>0</v>
          </cell>
          <cell r="AC151"/>
          <cell r="AD151"/>
        </row>
        <row r="152">
          <cell r="H152">
            <v>2562021</v>
          </cell>
          <cell r="I152" t="str">
            <v>ALEXANDER  RAMIREZ RAMIREZ</v>
          </cell>
          <cell r="J152">
            <v>79958660</v>
          </cell>
          <cell r="K152">
            <v>44238</v>
          </cell>
          <cell r="L152">
            <v>44561</v>
          </cell>
          <cell r="M152">
            <v>3021333</v>
          </cell>
          <cell r="N152">
            <v>59</v>
          </cell>
          <cell r="O152">
            <v>87618667</v>
          </cell>
          <cell r="P152" t="str">
            <v>062-21</v>
          </cell>
          <cell r="Q152">
            <v>90640000</v>
          </cell>
          <cell r="R152" t="str">
            <v>062-21</v>
          </cell>
          <cell r="S152">
            <v>87618667</v>
          </cell>
          <cell r="T152"/>
          <cell r="U152"/>
          <cell r="V152"/>
          <cell r="W152">
            <v>274667</v>
          </cell>
          <cell r="X152">
            <v>87344000</v>
          </cell>
          <cell r="Y152"/>
          <cell r="Z152">
            <v>87344000</v>
          </cell>
          <cell r="AA152"/>
          <cell r="AB152">
            <v>0</v>
          </cell>
          <cell r="AC152" t="str">
            <v>saldo a liberar</v>
          </cell>
          <cell r="AD152"/>
        </row>
        <row r="153">
          <cell r="H153">
            <v>2422021</v>
          </cell>
          <cell r="I153" t="str">
            <v>LUZ MYRIAM PUENTES CORREDOR</v>
          </cell>
          <cell r="J153">
            <v>51845334</v>
          </cell>
          <cell r="K153">
            <v>44235</v>
          </cell>
          <cell r="L153">
            <v>44561</v>
          </cell>
          <cell r="M153">
            <v>0</v>
          </cell>
          <cell r="N153">
            <v>62</v>
          </cell>
          <cell r="O153">
            <v>25923040</v>
          </cell>
          <cell r="P153" t="str">
            <v>055-21</v>
          </cell>
          <cell r="Q153">
            <v>25923040</v>
          </cell>
          <cell r="R153" t="str">
            <v>058-21</v>
          </cell>
          <cell r="S153">
            <v>25923040</v>
          </cell>
          <cell r="T153"/>
          <cell r="U153"/>
          <cell r="V153"/>
          <cell r="W153">
            <v>864102</v>
          </cell>
          <cell r="X153">
            <v>25058938</v>
          </cell>
          <cell r="Y153"/>
          <cell r="Z153">
            <v>25058938</v>
          </cell>
          <cell r="AA153"/>
          <cell r="AB153">
            <v>0</v>
          </cell>
          <cell r="AC153"/>
          <cell r="AD153"/>
        </row>
        <row r="154">
          <cell r="H154">
            <v>2292021</v>
          </cell>
          <cell r="I154" t="str">
            <v>NATALIA  BEJARANO MAYORGA</v>
          </cell>
          <cell r="J154">
            <v>52621687</v>
          </cell>
          <cell r="K154">
            <v>44232</v>
          </cell>
          <cell r="L154">
            <v>44561</v>
          </cell>
          <cell r="M154">
            <v>1700000</v>
          </cell>
          <cell r="N154">
            <v>64</v>
          </cell>
          <cell r="O154">
            <v>91800000</v>
          </cell>
          <cell r="P154" t="str">
            <v>059-21</v>
          </cell>
          <cell r="Q154">
            <v>93500000</v>
          </cell>
          <cell r="R154" t="str">
            <v>049-21</v>
          </cell>
          <cell r="S154">
            <v>91800000</v>
          </cell>
          <cell r="T154"/>
          <cell r="U154"/>
          <cell r="V154"/>
          <cell r="W154"/>
          <cell r="X154">
            <v>91800000</v>
          </cell>
          <cell r="Y154"/>
          <cell r="Z154">
            <v>91800000</v>
          </cell>
          <cell r="AA154"/>
          <cell r="AB154">
            <v>0</v>
          </cell>
          <cell r="AC154"/>
          <cell r="AD154"/>
        </row>
        <row r="155">
          <cell r="H155">
            <v>2362021</v>
          </cell>
          <cell r="I155" t="str">
            <v>ARGEMIRO ÁLVAREZ JIMÉNEZ</v>
          </cell>
          <cell r="J155">
            <v>9525069</v>
          </cell>
          <cell r="K155">
            <v>44232</v>
          </cell>
          <cell r="L155">
            <v>44561</v>
          </cell>
          <cell r="M155">
            <v>1416667</v>
          </cell>
          <cell r="N155">
            <v>66</v>
          </cell>
          <cell r="O155">
            <v>90950000</v>
          </cell>
          <cell r="P155" t="str">
            <v>071-21</v>
          </cell>
          <cell r="Q155">
            <v>92366667</v>
          </cell>
          <cell r="R155" t="str">
            <v>055-21</v>
          </cell>
          <cell r="S155">
            <v>90950000</v>
          </cell>
          <cell r="T155"/>
          <cell r="U155"/>
          <cell r="V155"/>
          <cell r="W155">
            <v>283333</v>
          </cell>
          <cell r="X155">
            <v>90666667</v>
          </cell>
          <cell r="Y155"/>
          <cell r="Z155">
            <v>90666667</v>
          </cell>
          <cell r="AA155"/>
          <cell r="AB155">
            <v>0</v>
          </cell>
          <cell r="AC155" t="str">
            <v>saldo a liberar</v>
          </cell>
          <cell r="AD155"/>
        </row>
        <row r="156">
          <cell r="H156">
            <v>2542021</v>
          </cell>
          <cell r="I156" t="str">
            <v>ANDRES FELIPE VILLAMARIN SALAZAR</v>
          </cell>
          <cell r="J156">
            <v>1061773616</v>
          </cell>
          <cell r="K156">
            <v>44237</v>
          </cell>
          <cell r="L156">
            <v>44561</v>
          </cell>
          <cell r="M156">
            <v>499894</v>
          </cell>
          <cell r="N156">
            <v>78</v>
          </cell>
          <cell r="O156">
            <v>31993173</v>
          </cell>
          <cell r="P156" t="str">
            <v>075-21</v>
          </cell>
          <cell r="Q156">
            <v>32493067</v>
          </cell>
          <cell r="R156" t="str">
            <v>065-21</v>
          </cell>
          <cell r="S156">
            <v>31993173</v>
          </cell>
          <cell r="T156"/>
          <cell r="U156"/>
          <cell r="V156"/>
          <cell r="W156">
            <v>99978</v>
          </cell>
          <cell r="X156">
            <v>31893195</v>
          </cell>
          <cell r="Y156"/>
          <cell r="Z156">
            <v>31893195</v>
          </cell>
          <cell r="AA156"/>
          <cell r="AB156">
            <v>0</v>
          </cell>
          <cell r="AC156" t="str">
            <v>saldo a liberar</v>
          </cell>
          <cell r="AD156"/>
        </row>
        <row r="157">
          <cell r="H157">
            <v>4032021</v>
          </cell>
          <cell r="I157" t="str">
            <v xml:space="preserve">MIGUEL ALFONSO CALDERON MOLINA </v>
          </cell>
          <cell r="J157">
            <v>1118530603</v>
          </cell>
          <cell r="K157">
            <v>44294</v>
          </cell>
          <cell r="L157">
            <v>44561</v>
          </cell>
          <cell r="M157">
            <v>1493333</v>
          </cell>
          <cell r="N157">
            <v>87</v>
          </cell>
          <cell r="O157">
            <v>28266667</v>
          </cell>
          <cell r="P157" t="str">
            <v>085-21</v>
          </cell>
          <cell r="Q157">
            <v>29760000</v>
          </cell>
          <cell r="R157" t="str">
            <v>088-21</v>
          </cell>
          <cell r="S157">
            <v>28266667</v>
          </cell>
          <cell r="T157"/>
          <cell r="U157"/>
          <cell r="V157"/>
          <cell r="W157">
            <v>213334</v>
          </cell>
          <cell r="X157">
            <v>28053333</v>
          </cell>
          <cell r="Y157"/>
          <cell r="Z157">
            <v>28053333</v>
          </cell>
          <cell r="AA157"/>
          <cell r="AB157">
            <v>0</v>
          </cell>
          <cell r="AC157" t="str">
            <v>saldo a liberar</v>
          </cell>
          <cell r="AD157"/>
        </row>
        <row r="158">
          <cell r="H158">
            <v>5302021</v>
          </cell>
          <cell r="I158" t="str">
            <v>FIDUCIARIA LA PREVISORA</v>
          </cell>
          <cell r="J158">
            <v>860525148</v>
          </cell>
          <cell r="K158">
            <v>44409</v>
          </cell>
          <cell r="L158">
            <v>44926</v>
          </cell>
          <cell r="M158">
            <v>4755</v>
          </cell>
          <cell r="N158">
            <v>99</v>
          </cell>
          <cell r="O158">
            <v>1095150000</v>
          </cell>
          <cell r="P158" t="str">
            <v>97-21</v>
          </cell>
          <cell r="Q158">
            <v>1095154755</v>
          </cell>
          <cell r="R158" t="str">
            <v>111-21</v>
          </cell>
          <cell r="S158">
            <v>1095150000</v>
          </cell>
          <cell r="T158"/>
          <cell r="U158"/>
          <cell r="V158"/>
          <cell r="W158"/>
          <cell r="X158">
            <v>1095150000</v>
          </cell>
          <cell r="Y158"/>
          <cell r="Z158">
            <v>438060000</v>
          </cell>
          <cell r="AA158"/>
          <cell r="AB158">
            <v>657090000</v>
          </cell>
          <cell r="AC158"/>
          <cell r="AD158"/>
        </row>
        <row r="159">
          <cell r="H159">
            <v>5382021</v>
          </cell>
          <cell r="I159" t="str">
            <v>JOHN HENRY BOHORQUEZ</v>
          </cell>
          <cell r="J159">
            <v>80811353</v>
          </cell>
          <cell r="K159">
            <v>44413</v>
          </cell>
          <cell r="L159">
            <v>44561</v>
          </cell>
          <cell r="M159">
            <v>1600000</v>
          </cell>
          <cell r="N159">
            <v>110</v>
          </cell>
          <cell r="O159">
            <v>29400000</v>
          </cell>
          <cell r="P159" t="str">
            <v>108-21</v>
          </cell>
          <cell r="Q159">
            <v>31000000</v>
          </cell>
          <cell r="R159" t="str">
            <v>113-21</v>
          </cell>
          <cell r="S159">
            <v>29400000</v>
          </cell>
          <cell r="T159"/>
          <cell r="U159"/>
          <cell r="V159"/>
          <cell r="W159"/>
          <cell r="X159">
            <v>29400000</v>
          </cell>
          <cell r="Y159"/>
          <cell r="Z159">
            <v>29400000</v>
          </cell>
          <cell r="AA159"/>
          <cell r="AB159">
            <v>0</v>
          </cell>
          <cell r="AC159"/>
          <cell r="AD159"/>
        </row>
        <row r="160">
          <cell r="H160">
            <v>5432021</v>
          </cell>
          <cell r="I160" t="str">
            <v>PABLO ARISTOBULO SIERRA LEON</v>
          </cell>
          <cell r="J160">
            <v>19415387</v>
          </cell>
          <cell r="K160">
            <v>44417</v>
          </cell>
          <cell r="L160">
            <v>44561</v>
          </cell>
          <cell r="M160">
            <v>0</v>
          </cell>
          <cell r="N160">
            <v>112</v>
          </cell>
          <cell r="O160">
            <v>49920000</v>
          </cell>
          <cell r="P160" t="str">
            <v>110-21</v>
          </cell>
          <cell r="Q160">
            <v>49920000</v>
          </cell>
          <cell r="R160" t="str">
            <v>115-21</v>
          </cell>
          <cell r="S160">
            <v>49920000</v>
          </cell>
          <cell r="T160"/>
          <cell r="U160"/>
          <cell r="V160"/>
          <cell r="W160">
            <v>346667</v>
          </cell>
          <cell r="X160">
            <v>49573333</v>
          </cell>
          <cell r="Y160"/>
          <cell r="Z160">
            <v>49573333</v>
          </cell>
          <cell r="AA160"/>
          <cell r="AB160">
            <v>0</v>
          </cell>
          <cell r="AC160" t="str">
            <v>saldo a liberar</v>
          </cell>
          <cell r="AD160"/>
        </row>
        <row r="161">
          <cell r="H161">
            <v>5572021</v>
          </cell>
          <cell r="I161" t="str">
            <v>SANDRA PATRICIA SALGADO GOMEZ</v>
          </cell>
          <cell r="J161">
            <v>1075652259</v>
          </cell>
          <cell r="K161">
            <v>44434</v>
          </cell>
          <cell r="L161">
            <v>44561</v>
          </cell>
          <cell r="M161">
            <v>0</v>
          </cell>
          <cell r="N161">
            <v>121</v>
          </cell>
          <cell r="O161">
            <v>28493920</v>
          </cell>
          <cell r="P161" t="str">
            <v>119-21</v>
          </cell>
          <cell r="Q161">
            <v>28493920</v>
          </cell>
          <cell r="R161" t="str">
            <v>119-21</v>
          </cell>
          <cell r="S161">
            <v>28493920</v>
          </cell>
          <cell r="T161"/>
          <cell r="U161"/>
          <cell r="V161"/>
          <cell r="W161">
            <v>1499680</v>
          </cell>
          <cell r="X161">
            <v>26994240</v>
          </cell>
          <cell r="Y161"/>
          <cell r="Z161">
            <v>26994240</v>
          </cell>
          <cell r="AA161"/>
          <cell r="AB161">
            <v>0</v>
          </cell>
          <cell r="AC161" t="str">
            <v>saldo a liberar</v>
          </cell>
          <cell r="AD161"/>
        </row>
        <row r="162">
          <cell r="H162">
            <v>5582021</v>
          </cell>
          <cell r="I162" t="str">
            <v>CAMILO ALEJANDRO PRIETO ARANGO</v>
          </cell>
          <cell r="J162">
            <v>1030651365</v>
          </cell>
          <cell r="K162">
            <v>44435</v>
          </cell>
          <cell r="L162">
            <v>44561</v>
          </cell>
          <cell r="M162">
            <v>0</v>
          </cell>
          <cell r="N162">
            <v>122</v>
          </cell>
          <cell r="O162">
            <v>16120000</v>
          </cell>
          <cell r="P162" t="str">
            <v>120-21</v>
          </cell>
          <cell r="Q162">
            <v>16120000</v>
          </cell>
          <cell r="R162" t="str">
            <v>121-21</v>
          </cell>
          <cell r="S162">
            <v>16120000</v>
          </cell>
          <cell r="T162"/>
          <cell r="U162"/>
          <cell r="V162"/>
          <cell r="W162">
            <v>620000</v>
          </cell>
          <cell r="X162">
            <v>15500000</v>
          </cell>
          <cell r="Y162"/>
          <cell r="Z162">
            <v>15500000</v>
          </cell>
          <cell r="AA162"/>
          <cell r="AB162">
            <v>0</v>
          </cell>
          <cell r="AC162" t="str">
            <v>saldo a liberar</v>
          </cell>
          <cell r="AD162"/>
        </row>
        <row r="163">
          <cell r="H163">
            <v>5682021</v>
          </cell>
          <cell r="I163" t="str">
            <v>LUZ ANGELA MARTINEZ BRAVO</v>
          </cell>
          <cell r="J163">
            <v>39535735</v>
          </cell>
          <cell r="K163">
            <v>44441</v>
          </cell>
          <cell r="L163">
            <v>44561</v>
          </cell>
          <cell r="M163">
            <v>8034000</v>
          </cell>
          <cell r="N163">
            <v>116</v>
          </cell>
          <cell r="O163">
            <v>38563200</v>
          </cell>
          <cell r="P163" t="str">
            <v>114-21</v>
          </cell>
          <cell r="Q163">
            <v>46597200</v>
          </cell>
          <cell r="R163" t="str">
            <v>123-21</v>
          </cell>
          <cell r="S163">
            <v>38563200</v>
          </cell>
          <cell r="T163"/>
          <cell r="U163"/>
          <cell r="V163"/>
          <cell r="W163">
            <v>321360</v>
          </cell>
          <cell r="X163">
            <v>38241840</v>
          </cell>
          <cell r="Y163"/>
          <cell r="Z163">
            <v>38241840</v>
          </cell>
          <cell r="AA163"/>
          <cell r="AB163">
            <v>0</v>
          </cell>
          <cell r="AC163" t="str">
            <v>saldo a liberar</v>
          </cell>
          <cell r="AD163"/>
        </row>
        <row r="164">
          <cell r="H164">
            <v>6142021</v>
          </cell>
          <cell r="I164" t="str">
            <v>OMAR ENRIQUE HANGGI VALOYES</v>
          </cell>
          <cell r="J164">
            <v>79945793</v>
          </cell>
          <cell r="K164">
            <v>44480</v>
          </cell>
          <cell r="L164">
            <v>44561</v>
          </cell>
          <cell r="M164">
            <v>2216667</v>
          </cell>
          <cell r="N164">
            <v>131</v>
          </cell>
          <cell r="O164">
            <v>26283333</v>
          </cell>
          <cell r="P164" t="str">
            <v>129-21</v>
          </cell>
          <cell r="Q164">
            <v>28500000</v>
          </cell>
          <cell r="R164" t="str">
            <v>131-21</v>
          </cell>
          <cell r="S164">
            <v>26283333</v>
          </cell>
          <cell r="T164"/>
          <cell r="U164"/>
          <cell r="V164"/>
          <cell r="W164">
            <v>633333</v>
          </cell>
          <cell r="X164">
            <v>25650000</v>
          </cell>
          <cell r="Y164"/>
          <cell r="Z164">
            <v>25650000</v>
          </cell>
          <cell r="AA164"/>
          <cell r="AB164">
            <v>0</v>
          </cell>
          <cell r="AC164" t="str">
            <v>saldo a liberar</v>
          </cell>
          <cell r="AD164"/>
        </row>
        <row r="165">
          <cell r="H165">
            <v>6062021</v>
          </cell>
          <cell r="I165" t="str">
            <v>CONSORCIO BDO FRL 2021</v>
          </cell>
          <cell r="J165">
            <v>901524978</v>
          </cell>
          <cell r="K165"/>
          <cell r="L165"/>
          <cell r="M165">
            <v>114400000</v>
          </cell>
          <cell r="N165"/>
          <cell r="O165">
            <v>215600000</v>
          </cell>
          <cell r="P165" t="str">
            <v>112-21</v>
          </cell>
          <cell r="Q165">
            <v>330000000</v>
          </cell>
          <cell r="R165" t="str">
            <v>129-21</v>
          </cell>
          <cell r="S165">
            <v>215600000</v>
          </cell>
          <cell r="T165"/>
          <cell r="U165"/>
          <cell r="V165"/>
          <cell r="W165"/>
          <cell r="X165">
            <v>215600000</v>
          </cell>
          <cell r="Y165"/>
          <cell r="Z165">
            <v>132000000</v>
          </cell>
          <cell r="AA165"/>
          <cell r="AB165">
            <v>83600000</v>
          </cell>
          <cell r="AC165"/>
          <cell r="AD165"/>
        </row>
        <row r="166">
          <cell r="H166">
            <v>6022021</v>
          </cell>
          <cell r="I166" t="str">
            <v>GABRIEL ALEJANDRO GUZMAN USECHE</v>
          </cell>
          <cell r="J166">
            <v>80124255</v>
          </cell>
          <cell r="K166">
            <v>44462</v>
          </cell>
          <cell r="L166">
            <v>44561</v>
          </cell>
          <cell r="M166">
            <v>1606800</v>
          </cell>
          <cell r="N166">
            <v>129</v>
          </cell>
          <cell r="O166">
            <v>32136000</v>
          </cell>
          <cell r="P166" t="str">
            <v>127-21</v>
          </cell>
          <cell r="Q166">
            <v>33742800</v>
          </cell>
          <cell r="R166" t="str">
            <v>127-21</v>
          </cell>
          <cell r="S166">
            <v>32136000</v>
          </cell>
          <cell r="T166"/>
          <cell r="U166"/>
          <cell r="V166"/>
          <cell r="W166">
            <v>642720</v>
          </cell>
          <cell r="X166">
            <v>31493280</v>
          </cell>
          <cell r="Y166"/>
          <cell r="Z166">
            <v>31493280</v>
          </cell>
          <cell r="AA166"/>
          <cell r="AB166">
            <v>0</v>
          </cell>
        </row>
      </sheetData>
      <sheetData sheetId="7"/>
      <sheetData sheetId="8">
        <row r="9">
          <cell r="G9" t="str">
            <v>6632021</v>
          </cell>
          <cell r="H9" t="str">
            <v>ORGANIZACION DE ESTADOS IBEROAMERICANOS OEI</v>
          </cell>
          <cell r="I9">
            <v>860403137</v>
          </cell>
          <cell r="J9"/>
          <cell r="K9"/>
          <cell r="L9" t="str">
            <v>003-22</v>
          </cell>
          <cell r="M9">
            <v>500000000</v>
          </cell>
          <cell r="N9" t="str">
            <v>003-22</v>
          </cell>
          <cell r="O9">
            <v>500000000</v>
          </cell>
          <cell r="P9">
            <v>500000000</v>
          </cell>
          <cell r="Q9"/>
          <cell r="R9">
            <v>500000000</v>
          </cell>
          <cell r="S9">
            <v>0</v>
          </cell>
          <cell r="T9"/>
          <cell r="U9">
            <v>500000000</v>
          </cell>
          <cell r="V9">
            <v>4199849702</v>
          </cell>
          <cell r="W9"/>
          <cell r="X9"/>
          <cell r="Y9">
            <v>500000000</v>
          </cell>
          <cell r="Z9">
            <v>0</v>
          </cell>
          <cell r="AA9">
            <v>500000000</v>
          </cell>
          <cell r="AB9"/>
        </row>
        <row r="10">
          <cell r="G10">
            <v>482022</v>
          </cell>
          <cell r="H10" t="str">
            <v>DUVIER ALFONSO LÓPEZ ORTÍZ</v>
          </cell>
          <cell r="I10">
            <v>80250540</v>
          </cell>
          <cell r="J10"/>
          <cell r="K10"/>
          <cell r="L10" t="str">
            <v>021-22</v>
          </cell>
          <cell r="M10"/>
          <cell r="N10" t="str">
            <v>017-22</v>
          </cell>
          <cell r="O10"/>
          <cell r="P10">
            <v>78778190</v>
          </cell>
          <cell r="Q10"/>
          <cell r="R10">
            <v>78778190</v>
          </cell>
          <cell r="S10">
            <v>0</v>
          </cell>
          <cell r="T10"/>
          <cell r="U10">
            <v>78778190</v>
          </cell>
          <cell r="V10"/>
          <cell r="W10"/>
          <cell r="X10"/>
          <cell r="Y10">
            <v>78778190</v>
          </cell>
          <cell r="Z10">
            <v>0</v>
          </cell>
          <cell r="AA10">
            <v>78778190</v>
          </cell>
          <cell r="AB10"/>
        </row>
        <row r="11">
          <cell r="G11">
            <v>1352022</v>
          </cell>
          <cell r="H11" t="str">
            <v>Olga Josefina Thevening Amaris</v>
          </cell>
          <cell r="I11">
            <v>35113466</v>
          </cell>
          <cell r="J11">
            <v>44573</v>
          </cell>
          <cell r="K11">
            <v>44926</v>
          </cell>
          <cell r="L11" t="str">
            <v>030-22</v>
          </cell>
          <cell r="M11">
            <v>73542000</v>
          </cell>
          <cell r="N11" t="str">
            <v>024-22</v>
          </cell>
          <cell r="O11">
            <v>73542000</v>
          </cell>
          <cell r="P11">
            <v>73542000</v>
          </cell>
          <cell r="Q11"/>
          <cell r="R11">
            <v>73542000</v>
          </cell>
          <cell r="S11">
            <v>0</v>
          </cell>
          <cell r="T11"/>
          <cell r="U11">
            <v>73542000</v>
          </cell>
          <cell r="V11"/>
          <cell r="W11">
            <v>10300000</v>
          </cell>
          <cell r="X11"/>
          <cell r="Y11">
            <v>63242000</v>
          </cell>
          <cell r="Z11">
            <v>0</v>
          </cell>
          <cell r="AA11">
            <v>63242000</v>
          </cell>
          <cell r="AB11"/>
        </row>
        <row r="12">
          <cell r="G12">
            <v>1702022</v>
          </cell>
          <cell r="H12" t="str">
            <v>JAIRO ALBERTO HUERTAS CONTRERAS</v>
          </cell>
          <cell r="I12">
            <v>80810388</v>
          </cell>
          <cell r="J12">
            <v>44574</v>
          </cell>
          <cell r="K12">
            <v>44926</v>
          </cell>
          <cell r="L12" t="str">
            <v>023-22</v>
          </cell>
          <cell r="M12">
            <v>82060615</v>
          </cell>
          <cell r="N12" t="str">
            <v>028-22</v>
          </cell>
          <cell r="O12">
            <v>80451583</v>
          </cell>
          <cell r="P12">
            <v>80451583</v>
          </cell>
          <cell r="Q12"/>
          <cell r="R12">
            <v>80451583</v>
          </cell>
          <cell r="S12">
            <v>0</v>
          </cell>
          <cell r="T12"/>
          <cell r="U12">
            <v>80451583</v>
          </cell>
          <cell r="V12"/>
          <cell r="W12">
            <v>11263221</v>
          </cell>
          <cell r="X12"/>
          <cell r="Y12">
            <v>69188362</v>
          </cell>
          <cell r="Z12">
            <v>0</v>
          </cell>
          <cell r="AA12">
            <v>69188362</v>
          </cell>
          <cell r="AB12"/>
        </row>
        <row r="13">
          <cell r="G13">
            <v>1792022</v>
          </cell>
          <cell r="H13" t="str">
            <v>MARIA CLAUDIA ESPAÑA DIAZ</v>
          </cell>
          <cell r="I13">
            <v>53003595</v>
          </cell>
          <cell r="J13">
            <v>44574</v>
          </cell>
          <cell r="K13">
            <v>44926</v>
          </cell>
          <cell r="L13" t="str">
            <v>034-22</v>
          </cell>
          <cell r="M13">
            <v>100997680</v>
          </cell>
          <cell r="N13" t="str">
            <v>030-22</v>
          </cell>
          <cell r="O13">
            <v>100997680</v>
          </cell>
          <cell r="P13">
            <v>100997680</v>
          </cell>
          <cell r="Q13"/>
          <cell r="R13">
            <v>100997680</v>
          </cell>
          <cell r="S13">
            <v>0</v>
          </cell>
          <cell r="T13"/>
          <cell r="U13">
            <v>100997680</v>
          </cell>
          <cell r="V13"/>
          <cell r="W13">
            <v>13862427</v>
          </cell>
          <cell r="X13"/>
          <cell r="Y13">
            <v>87135253</v>
          </cell>
          <cell r="Z13">
            <v>0</v>
          </cell>
          <cell r="AA13">
            <v>87135253</v>
          </cell>
          <cell r="AB13"/>
        </row>
        <row r="14">
          <cell r="G14">
            <v>1432022</v>
          </cell>
          <cell r="H14" t="str">
            <v>ADRIANA PATRICIA AREVALO BELTRAN</v>
          </cell>
          <cell r="I14">
            <v>65719903</v>
          </cell>
          <cell r="J14">
            <v>44575</v>
          </cell>
          <cell r="K14">
            <v>44907</v>
          </cell>
          <cell r="L14" t="str">
            <v>020-22</v>
          </cell>
          <cell r="M14">
            <v>82060615</v>
          </cell>
          <cell r="N14" t="str">
            <v>031-22</v>
          </cell>
          <cell r="O14">
            <v>82060615</v>
          </cell>
          <cell r="P14">
            <v>82060615</v>
          </cell>
          <cell r="Q14"/>
          <cell r="R14">
            <v>82060615</v>
          </cell>
          <cell r="S14">
            <v>0</v>
          </cell>
          <cell r="T14"/>
          <cell r="U14">
            <v>82060615</v>
          </cell>
          <cell r="V14"/>
          <cell r="W14">
            <v>11033360</v>
          </cell>
          <cell r="X14"/>
          <cell r="Y14">
            <v>71027255</v>
          </cell>
          <cell r="Z14">
            <v>0</v>
          </cell>
          <cell r="AA14">
            <v>71027255</v>
          </cell>
          <cell r="AB14"/>
        </row>
        <row r="15">
          <cell r="G15">
            <v>2092022</v>
          </cell>
          <cell r="H15" t="str">
            <v>LINDA YANETH ORREGO GIL</v>
          </cell>
          <cell r="I15">
            <v>24348475</v>
          </cell>
          <cell r="J15">
            <v>44575</v>
          </cell>
          <cell r="K15">
            <v>44817</v>
          </cell>
          <cell r="L15" t="str">
            <v>048-22</v>
          </cell>
          <cell r="M15">
            <v>66200160</v>
          </cell>
          <cell r="N15" t="str">
            <v>034-22</v>
          </cell>
          <cell r="O15">
            <v>66200160</v>
          </cell>
          <cell r="P15">
            <v>66200160</v>
          </cell>
          <cell r="Q15"/>
          <cell r="R15">
            <v>66200160</v>
          </cell>
          <cell r="S15">
            <v>0</v>
          </cell>
          <cell r="T15"/>
          <cell r="U15">
            <v>66200160</v>
          </cell>
          <cell r="V15"/>
          <cell r="W15">
            <v>13240032</v>
          </cell>
          <cell r="X15"/>
          <cell r="Y15">
            <v>52960128</v>
          </cell>
          <cell r="Z15">
            <v>0</v>
          </cell>
          <cell r="AA15">
            <v>52960128</v>
          </cell>
          <cell r="AB15"/>
        </row>
        <row r="16">
          <cell r="G16">
            <v>1422022</v>
          </cell>
          <cell r="H16" t="str">
            <v>DIANA MARIA GOMEZ ORTIZ</v>
          </cell>
          <cell r="I16">
            <v>65740812</v>
          </cell>
          <cell r="J16">
            <v>44575</v>
          </cell>
          <cell r="K16">
            <v>44816</v>
          </cell>
          <cell r="L16" t="str">
            <v>018-22</v>
          </cell>
          <cell r="M16">
            <v>19350816</v>
          </cell>
          <cell r="N16" t="str">
            <v>035-22</v>
          </cell>
          <cell r="O16">
            <v>19350816</v>
          </cell>
          <cell r="P16">
            <v>19350816</v>
          </cell>
          <cell r="Q16"/>
          <cell r="R16">
            <v>19350816</v>
          </cell>
          <cell r="S16">
            <v>0</v>
          </cell>
          <cell r="T16"/>
          <cell r="U16">
            <v>19350816</v>
          </cell>
          <cell r="V16"/>
          <cell r="W16">
            <v>3870163</v>
          </cell>
          <cell r="X16"/>
          <cell r="Y16">
            <v>15480653</v>
          </cell>
          <cell r="Z16">
            <v>0</v>
          </cell>
          <cell r="AA16">
            <v>15480653</v>
          </cell>
          <cell r="AB16"/>
        </row>
        <row r="17">
          <cell r="G17">
            <v>1732022</v>
          </cell>
          <cell r="H17" t="str">
            <v>SHARON SASTY STEFAN GONZALEZ ESCORCIA</v>
          </cell>
          <cell r="I17">
            <v>1065647516</v>
          </cell>
          <cell r="J17">
            <v>44575</v>
          </cell>
          <cell r="K17">
            <v>44816</v>
          </cell>
          <cell r="L17" t="str">
            <v>036-22</v>
          </cell>
          <cell r="M17">
            <v>37080000</v>
          </cell>
          <cell r="N17" t="str">
            <v>036-22</v>
          </cell>
          <cell r="O17">
            <v>37080000</v>
          </cell>
          <cell r="P17">
            <v>37080000</v>
          </cell>
          <cell r="Q17"/>
          <cell r="R17">
            <v>37080000</v>
          </cell>
          <cell r="S17">
            <v>0</v>
          </cell>
          <cell r="T17"/>
          <cell r="U17">
            <v>37080000</v>
          </cell>
          <cell r="V17"/>
          <cell r="W17">
            <v>7416000</v>
          </cell>
          <cell r="X17"/>
          <cell r="Y17">
            <v>29664000</v>
          </cell>
          <cell r="Z17">
            <v>0</v>
          </cell>
          <cell r="AA17">
            <v>29664000</v>
          </cell>
          <cell r="AB17"/>
        </row>
        <row r="18">
          <cell r="G18">
            <v>2532022</v>
          </cell>
          <cell r="H18" t="str">
            <v>MONICA VIVIANA GUEVARA GONZALEZ</v>
          </cell>
          <cell r="I18">
            <v>1000804079</v>
          </cell>
          <cell r="J18">
            <v>44578</v>
          </cell>
          <cell r="K18">
            <v>44926</v>
          </cell>
          <cell r="L18" t="str">
            <v>052-22</v>
          </cell>
          <cell r="M18">
            <v>91907889</v>
          </cell>
          <cell r="N18" t="str">
            <v>037-22</v>
          </cell>
          <cell r="O18">
            <v>91907889</v>
          </cell>
          <cell r="P18">
            <v>91907889</v>
          </cell>
          <cell r="Q18"/>
          <cell r="R18">
            <v>91907889</v>
          </cell>
          <cell r="S18">
            <v>0</v>
          </cell>
          <cell r="T18"/>
          <cell r="U18">
            <v>91907889</v>
          </cell>
          <cell r="V18"/>
          <cell r="W18">
            <v>11585028</v>
          </cell>
          <cell r="X18"/>
          <cell r="Y18">
            <v>80322861</v>
          </cell>
          <cell r="Z18">
            <v>0</v>
          </cell>
          <cell r="AA18">
            <v>80322861</v>
          </cell>
          <cell r="AB18"/>
        </row>
        <row r="19">
          <cell r="G19">
            <v>2722022</v>
          </cell>
          <cell r="H19" t="str">
            <v>FLOR ANGELICA HOWER PEDRAZA</v>
          </cell>
          <cell r="I19">
            <v>52008012</v>
          </cell>
          <cell r="J19">
            <v>44578</v>
          </cell>
          <cell r="K19">
            <v>44820</v>
          </cell>
          <cell r="L19" t="str">
            <v>061-22</v>
          </cell>
          <cell r="M19">
            <v>35815984</v>
          </cell>
          <cell r="N19" t="str">
            <v>038-22</v>
          </cell>
          <cell r="O19">
            <v>35815984</v>
          </cell>
          <cell r="P19">
            <v>35815984</v>
          </cell>
          <cell r="Q19"/>
          <cell r="R19">
            <v>35815984</v>
          </cell>
          <cell r="S19">
            <v>0</v>
          </cell>
          <cell r="T19"/>
          <cell r="U19">
            <v>35815984</v>
          </cell>
          <cell r="V19"/>
          <cell r="W19">
            <v>6715497</v>
          </cell>
          <cell r="X19"/>
          <cell r="Y19">
            <v>29100487</v>
          </cell>
          <cell r="Z19">
            <v>0</v>
          </cell>
          <cell r="AA19">
            <v>29100487</v>
          </cell>
          <cell r="AB19"/>
        </row>
        <row r="20">
          <cell r="G20">
            <v>3122022</v>
          </cell>
          <cell r="H20" t="str">
            <v>Gustavo Eduardo Arenas Campos</v>
          </cell>
          <cell r="I20">
            <v>19329976</v>
          </cell>
          <cell r="J20">
            <v>44579</v>
          </cell>
          <cell r="K20">
            <v>44822</v>
          </cell>
          <cell r="L20" t="str">
            <v>059-22</v>
          </cell>
          <cell r="M20">
            <v>72141200</v>
          </cell>
          <cell r="N20" t="str">
            <v>040-22</v>
          </cell>
          <cell r="O20">
            <v>72141200</v>
          </cell>
          <cell r="P20">
            <v>72141200</v>
          </cell>
          <cell r="Q20"/>
          <cell r="R20">
            <v>72141200</v>
          </cell>
          <cell r="S20">
            <v>0</v>
          </cell>
          <cell r="T20"/>
          <cell r="U20">
            <v>72141200</v>
          </cell>
          <cell r="V20"/>
          <cell r="W20">
            <v>13225886</v>
          </cell>
          <cell r="X20"/>
          <cell r="Y20">
            <v>58915314</v>
          </cell>
          <cell r="Z20">
            <v>0</v>
          </cell>
          <cell r="AA20">
            <v>58915314</v>
          </cell>
          <cell r="AB20"/>
        </row>
        <row r="21">
          <cell r="G21">
            <v>2812022</v>
          </cell>
          <cell r="H21" t="str">
            <v>Ana María López Coronado</v>
          </cell>
          <cell r="I21">
            <v>1019093050</v>
          </cell>
          <cell r="J21">
            <v>44579</v>
          </cell>
          <cell r="K21">
            <v>44561</v>
          </cell>
          <cell r="L21" t="str">
            <v>058-22</v>
          </cell>
          <cell r="M21">
            <v>58500000</v>
          </cell>
          <cell r="N21" t="str">
            <v>041-22</v>
          </cell>
          <cell r="O21">
            <v>58500000</v>
          </cell>
          <cell r="P21">
            <v>58500000</v>
          </cell>
          <cell r="Q21"/>
          <cell r="R21">
            <v>58500000</v>
          </cell>
          <cell r="S21">
            <v>0</v>
          </cell>
          <cell r="T21"/>
          <cell r="U21">
            <v>58500000</v>
          </cell>
          <cell r="V21"/>
          <cell r="W21">
            <v>7333333</v>
          </cell>
          <cell r="X21"/>
          <cell r="Y21">
            <v>51166667</v>
          </cell>
          <cell r="Z21">
            <v>0</v>
          </cell>
          <cell r="AA21">
            <v>51166667</v>
          </cell>
          <cell r="AB21"/>
        </row>
        <row r="22">
          <cell r="G22">
            <v>3192022</v>
          </cell>
          <cell r="H22" t="str">
            <v>YOLANDA BELTRÁN BARRERA</v>
          </cell>
          <cell r="I22">
            <v>1052379304</v>
          </cell>
          <cell r="J22">
            <v>44580</v>
          </cell>
          <cell r="K22">
            <v>44822</v>
          </cell>
          <cell r="L22" t="str">
            <v>062-22</v>
          </cell>
          <cell r="M22">
            <v>65351440</v>
          </cell>
          <cell r="N22" t="str">
            <v>042-22</v>
          </cell>
          <cell r="O22">
            <v>65351440</v>
          </cell>
          <cell r="P22">
            <v>65351440</v>
          </cell>
          <cell r="Q22"/>
          <cell r="R22">
            <v>65351440</v>
          </cell>
          <cell r="S22">
            <v>0</v>
          </cell>
          <cell r="T22"/>
          <cell r="U22">
            <v>65351440</v>
          </cell>
          <cell r="V22"/>
          <cell r="W22">
            <v>11708800</v>
          </cell>
          <cell r="X22"/>
          <cell r="Y22">
            <v>53642640</v>
          </cell>
          <cell r="Z22">
            <v>0</v>
          </cell>
          <cell r="AA22">
            <v>53642640</v>
          </cell>
          <cell r="AB22"/>
        </row>
        <row r="23">
          <cell r="G23">
            <v>2742022</v>
          </cell>
          <cell r="H23" t="str">
            <v>ANGELA YOLIMA NOVA MOLANO</v>
          </cell>
          <cell r="I23">
            <v>46379088</v>
          </cell>
          <cell r="J23">
            <v>44586</v>
          </cell>
          <cell r="K23"/>
          <cell r="L23" t="str">
            <v>060-22</v>
          </cell>
          <cell r="M23">
            <v>67897600</v>
          </cell>
          <cell r="N23" t="str">
            <v>043-22</v>
          </cell>
          <cell r="O23">
            <v>67897600</v>
          </cell>
          <cell r="P23">
            <v>67897600</v>
          </cell>
          <cell r="Q23"/>
          <cell r="R23">
            <v>67897600</v>
          </cell>
          <cell r="S23">
            <v>0</v>
          </cell>
          <cell r="T23"/>
          <cell r="U23">
            <v>67897600</v>
          </cell>
          <cell r="V23"/>
          <cell r="W23">
            <v>1980347</v>
          </cell>
          <cell r="X23"/>
          <cell r="Y23">
            <v>65917253</v>
          </cell>
          <cell r="Z23">
            <v>0</v>
          </cell>
          <cell r="AA23">
            <v>65917253</v>
          </cell>
          <cell r="AB23"/>
        </row>
        <row r="24">
          <cell r="G24">
            <v>3022022</v>
          </cell>
          <cell r="H24" t="str">
            <v>PAULA NICOLLE GONZALEZ MONTEJO</v>
          </cell>
          <cell r="I24">
            <v>1033795426</v>
          </cell>
          <cell r="J24">
            <v>44580</v>
          </cell>
          <cell r="K24">
            <v>44926</v>
          </cell>
          <cell r="L24" t="str">
            <v>043-22</v>
          </cell>
          <cell r="M24">
            <v>46800000</v>
          </cell>
          <cell r="N24" t="str">
            <v>044-22</v>
          </cell>
          <cell r="O24">
            <v>46800000</v>
          </cell>
          <cell r="P24">
            <v>46800000</v>
          </cell>
          <cell r="Q24"/>
          <cell r="R24">
            <v>46800000</v>
          </cell>
          <cell r="S24">
            <v>0</v>
          </cell>
          <cell r="T24"/>
          <cell r="U24">
            <v>46800000</v>
          </cell>
          <cell r="V24"/>
          <cell r="W24">
            <v>5733333</v>
          </cell>
          <cell r="X24"/>
          <cell r="Y24">
            <v>41066667</v>
          </cell>
          <cell r="Z24">
            <v>0</v>
          </cell>
          <cell r="AA24">
            <v>41066667</v>
          </cell>
          <cell r="AB24"/>
        </row>
        <row r="25">
          <cell r="G25">
            <v>3512022</v>
          </cell>
          <cell r="H25" t="str">
            <v>FANNY MERCEDES TORRES LOPEZ</v>
          </cell>
          <cell r="I25">
            <v>40773807</v>
          </cell>
          <cell r="J25">
            <v>44581</v>
          </cell>
          <cell r="K25">
            <v>44926</v>
          </cell>
          <cell r="L25" t="str">
            <v>054-22</v>
          </cell>
          <cell r="M25">
            <v>88372970</v>
          </cell>
          <cell r="N25" t="str">
            <v>050-22</v>
          </cell>
          <cell r="O25">
            <v>88372970</v>
          </cell>
          <cell r="P25">
            <v>88372970</v>
          </cell>
          <cell r="Q25"/>
          <cell r="R25">
            <v>88372970</v>
          </cell>
          <cell r="S25">
            <v>0</v>
          </cell>
          <cell r="T25"/>
          <cell r="U25">
            <v>88372970</v>
          </cell>
          <cell r="V25"/>
          <cell r="W25">
            <v>10396820</v>
          </cell>
          <cell r="X25"/>
          <cell r="Y25">
            <v>77976150</v>
          </cell>
          <cell r="Z25">
            <v>0</v>
          </cell>
          <cell r="AA25">
            <v>77976150</v>
          </cell>
          <cell r="AB25"/>
        </row>
        <row r="26">
          <cell r="G26">
            <v>3682022</v>
          </cell>
          <cell r="H26" t="str">
            <v>CARLOS DARIO ARENAS GRANADA</v>
          </cell>
          <cell r="I26" t="str">
            <v>19323598</v>
          </cell>
          <cell r="J26">
            <v>44586</v>
          </cell>
          <cell r="K26">
            <v>44828</v>
          </cell>
          <cell r="L26" t="str">
            <v>071-22</v>
          </cell>
          <cell r="M26">
            <v>74160000</v>
          </cell>
          <cell r="N26" t="str">
            <v>059-22</v>
          </cell>
          <cell r="O26">
            <v>74160000</v>
          </cell>
          <cell r="P26">
            <v>74160000</v>
          </cell>
          <cell r="Q26"/>
          <cell r="R26">
            <v>74160000</v>
          </cell>
          <cell r="S26">
            <v>0</v>
          </cell>
          <cell r="T26"/>
          <cell r="U26">
            <v>74160000</v>
          </cell>
          <cell r="V26"/>
          <cell r="W26">
            <v>11433000</v>
          </cell>
          <cell r="X26"/>
          <cell r="Y26">
            <v>62727000</v>
          </cell>
          <cell r="Z26">
            <v>0</v>
          </cell>
          <cell r="AA26">
            <v>62727000</v>
          </cell>
          <cell r="AB26"/>
        </row>
        <row r="27">
          <cell r="G27">
            <v>3732022</v>
          </cell>
          <cell r="H27" t="str">
            <v>Betty Esperanza Herrera García</v>
          </cell>
          <cell r="I27">
            <v>51734389</v>
          </cell>
          <cell r="J27">
            <v>44586</v>
          </cell>
          <cell r="K27">
            <v>44926</v>
          </cell>
          <cell r="L27" t="str">
            <v>068-22</v>
          </cell>
          <cell r="M27">
            <v>85402450</v>
          </cell>
          <cell r="N27" t="str">
            <v>060-22</v>
          </cell>
          <cell r="O27">
            <v>85402450</v>
          </cell>
          <cell r="P27">
            <v>85402450</v>
          </cell>
          <cell r="Q27"/>
          <cell r="R27">
            <v>85402450</v>
          </cell>
          <cell r="S27">
            <v>0</v>
          </cell>
          <cell r="T27"/>
          <cell r="U27">
            <v>85402450</v>
          </cell>
          <cell r="V27"/>
          <cell r="W27">
            <v>1732803</v>
          </cell>
          <cell r="X27"/>
          <cell r="Y27">
            <v>83669647</v>
          </cell>
          <cell r="Z27">
            <v>0</v>
          </cell>
          <cell r="AA27">
            <v>83669647</v>
          </cell>
          <cell r="AB27"/>
        </row>
        <row r="28">
          <cell r="G28">
            <v>3652022</v>
          </cell>
          <cell r="H28" t="str">
            <v>Fabio Andres Benavides Ortega</v>
          </cell>
          <cell r="I28" t="str">
            <v>80084610</v>
          </cell>
          <cell r="J28">
            <v>44582</v>
          </cell>
          <cell r="K28">
            <v>44823</v>
          </cell>
          <cell r="L28" t="str">
            <v>065-22</v>
          </cell>
          <cell r="M28">
            <v>72141200</v>
          </cell>
          <cell r="N28" t="str">
            <v>061-22</v>
          </cell>
          <cell r="O28">
            <v>72141200</v>
          </cell>
          <cell r="P28">
            <v>72141200</v>
          </cell>
          <cell r="Q28"/>
          <cell r="R28">
            <v>72141200</v>
          </cell>
          <cell r="S28">
            <v>0</v>
          </cell>
          <cell r="T28"/>
          <cell r="U28">
            <v>72141200</v>
          </cell>
          <cell r="V28"/>
          <cell r="W28">
            <v>11121768.33</v>
          </cell>
          <cell r="X28"/>
          <cell r="Y28">
            <v>61019431.670000002</v>
          </cell>
          <cell r="Z28">
            <v>0</v>
          </cell>
          <cell r="AA28">
            <v>61019431.670000002</v>
          </cell>
          <cell r="AB28"/>
        </row>
        <row r="29">
          <cell r="G29">
            <v>3642022</v>
          </cell>
          <cell r="H29" t="str">
            <v>Joaneth Melissa Coca Delgadillo</v>
          </cell>
          <cell r="I29" t="str">
            <v>52800370</v>
          </cell>
          <cell r="J29">
            <v>44585</v>
          </cell>
          <cell r="K29">
            <v>44926</v>
          </cell>
          <cell r="L29" t="str">
            <v>033-22</v>
          </cell>
          <cell r="M29">
            <v>64962100</v>
          </cell>
          <cell r="N29" t="str">
            <v>062-22</v>
          </cell>
          <cell r="O29">
            <v>64962100</v>
          </cell>
          <cell r="P29">
            <v>64962100</v>
          </cell>
          <cell r="Q29"/>
          <cell r="R29">
            <v>64962100</v>
          </cell>
          <cell r="S29">
            <v>0</v>
          </cell>
          <cell r="T29"/>
          <cell r="U29">
            <v>64962100</v>
          </cell>
          <cell r="V29"/>
          <cell r="W29">
            <v>6914733</v>
          </cell>
          <cell r="X29"/>
          <cell r="Y29">
            <v>58047367</v>
          </cell>
          <cell r="Z29">
            <v>0</v>
          </cell>
          <cell r="AA29">
            <v>58047367</v>
          </cell>
          <cell r="AB29"/>
        </row>
        <row r="30">
          <cell r="G30">
            <v>3822022</v>
          </cell>
          <cell r="H30" t="str">
            <v>Luis Alberto Moreno Angarita</v>
          </cell>
          <cell r="I30" t="str">
            <v>79684016</v>
          </cell>
          <cell r="J30">
            <v>44582</v>
          </cell>
          <cell r="K30">
            <v>44926</v>
          </cell>
          <cell r="L30" t="str">
            <v>041-22</v>
          </cell>
          <cell r="M30">
            <v>65648492</v>
          </cell>
          <cell r="N30" t="str">
            <v>063-22</v>
          </cell>
          <cell r="O30">
            <v>62706263</v>
          </cell>
          <cell r="P30">
            <v>62706263</v>
          </cell>
          <cell r="Q30"/>
          <cell r="R30">
            <v>62706263</v>
          </cell>
          <cell r="S30">
            <v>0</v>
          </cell>
          <cell r="T30"/>
          <cell r="U30">
            <v>62706263</v>
          </cell>
          <cell r="V30"/>
          <cell r="W30">
            <v>7539462</v>
          </cell>
          <cell r="X30"/>
          <cell r="Y30">
            <v>55166801</v>
          </cell>
          <cell r="Z30">
            <v>0</v>
          </cell>
          <cell r="AA30">
            <v>55166801</v>
          </cell>
          <cell r="AB30"/>
        </row>
        <row r="31">
          <cell r="G31">
            <v>3892022</v>
          </cell>
          <cell r="H31" t="str">
            <v>Edith Andrea Raigosa Upegui</v>
          </cell>
          <cell r="I31" t="str">
            <v>43842912</v>
          </cell>
          <cell r="J31">
            <v>44585</v>
          </cell>
          <cell r="K31">
            <v>44766</v>
          </cell>
          <cell r="L31" t="str">
            <v>049-22</v>
          </cell>
          <cell r="M31">
            <v>39720096</v>
          </cell>
          <cell r="N31" t="str">
            <v>067-22</v>
          </cell>
          <cell r="O31">
            <v>39720096</v>
          </cell>
          <cell r="P31">
            <v>39720096</v>
          </cell>
          <cell r="Q31"/>
          <cell r="R31">
            <v>39720096</v>
          </cell>
          <cell r="S31">
            <v>0</v>
          </cell>
          <cell r="T31"/>
          <cell r="U31">
            <v>39720096</v>
          </cell>
          <cell r="V31"/>
          <cell r="W31">
            <v>7944019</v>
          </cell>
          <cell r="X31"/>
          <cell r="Y31">
            <v>31776077</v>
          </cell>
          <cell r="Z31">
            <v>0</v>
          </cell>
          <cell r="AA31">
            <v>31776077</v>
          </cell>
          <cell r="AB31"/>
        </row>
        <row r="32">
          <cell r="G32">
            <v>3912022</v>
          </cell>
          <cell r="H32" t="str">
            <v>ANGELA PATRICIA RAMIREZ PUENTES</v>
          </cell>
          <cell r="I32" t="str">
            <v>53160492</v>
          </cell>
          <cell r="J32">
            <v>44586</v>
          </cell>
          <cell r="K32">
            <v>44828</v>
          </cell>
          <cell r="L32" t="str">
            <v>050-22</v>
          </cell>
          <cell r="M32">
            <v>70864000</v>
          </cell>
          <cell r="N32" t="str">
            <v>068-22</v>
          </cell>
          <cell r="O32">
            <v>70864000</v>
          </cell>
          <cell r="P32">
            <v>70864000</v>
          </cell>
          <cell r="Q32"/>
          <cell r="R32">
            <v>70864000</v>
          </cell>
          <cell r="S32">
            <v>0</v>
          </cell>
          <cell r="T32"/>
          <cell r="U32">
            <v>70864000</v>
          </cell>
          <cell r="V32"/>
          <cell r="W32">
            <v>10924867</v>
          </cell>
          <cell r="X32"/>
          <cell r="Y32">
            <v>59939133</v>
          </cell>
          <cell r="Z32">
            <v>0</v>
          </cell>
          <cell r="AA32">
            <v>59939133</v>
          </cell>
          <cell r="AB32"/>
        </row>
        <row r="33">
          <cell r="G33">
            <v>4132022</v>
          </cell>
          <cell r="H33" t="str">
            <v>YENNY ISABEL PRIETO ROJAS</v>
          </cell>
          <cell r="I33" t="str">
            <v>52279630</v>
          </cell>
          <cell r="J33">
            <v>44586</v>
          </cell>
          <cell r="K33">
            <v>44926</v>
          </cell>
          <cell r="L33" t="str">
            <v>073-22</v>
          </cell>
          <cell r="M33">
            <v>50160000</v>
          </cell>
          <cell r="N33" t="str">
            <v>072-22</v>
          </cell>
          <cell r="O33">
            <v>49573333</v>
          </cell>
          <cell r="P33">
            <v>49573333</v>
          </cell>
          <cell r="Q33"/>
          <cell r="R33">
            <v>49573333</v>
          </cell>
          <cell r="S33">
            <v>0</v>
          </cell>
          <cell r="T33"/>
          <cell r="U33">
            <v>49573333</v>
          </cell>
          <cell r="V33"/>
          <cell r="W33">
            <v>5426667</v>
          </cell>
          <cell r="X33"/>
          <cell r="Y33">
            <v>44146666</v>
          </cell>
          <cell r="Z33">
            <v>0</v>
          </cell>
          <cell r="AA33">
            <v>44146666</v>
          </cell>
          <cell r="AB33"/>
        </row>
        <row r="34">
          <cell r="G34">
            <v>4172022</v>
          </cell>
          <cell r="H34" t="str">
            <v>ADRIANA INÉS OROZCO USTARIZ</v>
          </cell>
          <cell r="I34" t="str">
            <v>49716762</v>
          </cell>
          <cell r="J34">
            <v>44592</v>
          </cell>
          <cell r="K34">
            <v>44926</v>
          </cell>
          <cell r="L34" t="str">
            <v>039-22</v>
          </cell>
          <cell r="M34">
            <v>91907889</v>
          </cell>
          <cell r="N34" t="str">
            <v>073-22</v>
          </cell>
          <cell r="O34">
            <v>87016433</v>
          </cell>
          <cell r="P34">
            <v>87016433</v>
          </cell>
          <cell r="Q34"/>
          <cell r="R34">
            <v>87016433</v>
          </cell>
          <cell r="S34">
            <v>0</v>
          </cell>
          <cell r="T34"/>
          <cell r="U34">
            <v>87016433</v>
          </cell>
          <cell r="V34"/>
          <cell r="W34">
            <v>257445</v>
          </cell>
          <cell r="X34"/>
          <cell r="Y34">
            <v>86758988</v>
          </cell>
          <cell r="Z34">
            <v>0</v>
          </cell>
          <cell r="AA34">
            <v>86758988</v>
          </cell>
          <cell r="AB34"/>
        </row>
        <row r="35">
          <cell r="G35">
            <v>4242022</v>
          </cell>
          <cell r="H35" t="str">
            <v>Ruth Consuelo Suarez Torres</v>
          </cell>
          <cell r="I35" t="str">
            <v>20485054</v>
          </cell>
          <cell r="J35">
            <v>44587</v>
          </cell>
          <cell r="K35">
            <v>44765</v>
          </cell>
          <cell r="L35" t="str">
            <v>075-22</v>
          </cell>
          <cell r="M35">
            <v>49013580</v>
          </cell>
          <cell r="N35" t="str">
            <v>075-22</v>
          </cell>
          <cell r="O35">
            <v>49013580</v>
          </cell>
          <cell r="P35">
            <v>49013580</v>
          </cell>
          <cell r="Q35"/>
          <cell r="R35">
            <v>49013580</v>
          </cell>
          <cell r="S35">
            <v>0</v>
          </cell>
          <cell r="T35"/>
          <cell r="U35">
            <v>49013580</v>
          </cell>
          <cell r="V35"/>
          <cell r="W35">
            <v>9802716</v>
          </cell>
          <cell r="X35"/>
          <cell r="Y35">
            <v>39210864</v>
          </cell>
          <cell r="Z35">
            <v>0</v>
          </cell>
          <cell r="AA35">
            <v>39210864</v>
          </cell>
          <cell r="AB35"/>
        </row>
        <row r="36">
          <cell r="G36">
            <v>4572022</v>
          </cell>
          <cell r="H36" t="str">
            <v>Maria Alexandra Merlano Morales</v>
          </cell>
          <cell r="I36" t="str">
            <v>64696432</v>
          </cell>
          <cell r="J36">
            <v>44588</v>
          </cell>
          <cell r="K36">
            <v>44830</v>
          </cell>
          <cell r="L36" t="str">
            <v>081-22</v>
          </cell>
          <cell r="M36">
            <v>46679600</v>
          </cell>
          <cell r="N36" t="str">
            <v>080-22</v>
          </cell>
          <cell r="O36">
            <v>46679600</v>
          </cell>
          <cell r="P36">
            <v>46679600</v>
          </cell>
          <cell r="Q36"/>
          <cell r="R36">
            <v>46679600</v>
          </cell>
          <cell r="S36">
            <v>0</v>
          </cell>
          <cell r="T36"/>
          <cell r="U36">
            <v>46679600</v>
          </cell>
          <cell r="V36"/>
          <cell r="W36">
            <v>6807441</v>
          </cell>
          <cell r="X36"/>
          <cell r="Y36">
            <v>39872159</v>
          </cell>
          <cell r="Z36">
            <v>0</v>
          </cell>
          <cell r="AA36">
            <v>39872159</v>
          </cell>
          <cell r="AB36"/>
        </row>
        <row r="37">
          <cell r="G37">
            <v>4542022</v>
          </cell>
          <cell r="H37" t="str">
            <v>JUAN CARLOS SUAREZ RIAÑO</v>
          </cell>
          <cell r="I37" t="str">
            <v>80166396</v>
          </cell>
          <cell r="J37">
            <v>44595</v>
          </cell>
          <cell r="K37">
            <v>44836</v>
          </cell>
          <cell r="L37" t="str">
            <v>085-22</v>
          </cell>
          <cell r="M37">
            <v>77000000</v>
          </cell>
          <cell r="N37" t="str">
            <v>081-22</v>
          </cell>
          <cell r="O37">
            <v>56000000</v>
          </cell>
          <cell r="P37">
            <v>56000000</v>
          </cell>
          <cell r="Q37"/>
          <cell r="R37">
            <v>56000000</v>
          </cell>
          <cell r="S37">
            <v>0</v>
          </cell>
          <cell r="T37"/>
          <cell r="U37">
            <v>56000000</v>
          </cell>
          <cell r="V37"/>
          <cell r="W37">
            <v>6066666</v>
          </cell>
          <cell r="X37"/>
          <cell r="Y37">
            <v>49933334</v>
          </cell>
          <cell r="Z37">
            <v>0</v>
          </cell>
          <cell r="AA37">
            <v>49933334</v>
          </cell>
          <cell r="AB37"/>
        </row>
        <row r="38">
          <cell r="G38">
            <v>4552022</v>
          </cell>
          <cell r="H38" t="str">
            <v>JOSE ALBERTO BORBON REYES</v>
          </cell>
          <cell r="I38" t="str">
            <v>80392730</v>
          </cell>
          <cell r="J38">
            <v>44588</v>
          </cell>
          <cell r="K38">
            <v>44830</v>
          </cell>
          <cell r="L38" t="str">
            <v>072-22</v>
          </cell>
          <cell r="M38">
            <v>72000000</v>
          </cell>
          <cell r="N38" t="str">
            <v>082-22</v>
          </cell>
          <cell r="O38">
            <v>72000000</v>
          </cell>
          <cell r="P38">
            <v>72000000</v>
          </cell>
          <cell r="Q38"/>
          <cell r="R38">
            <v>72000000</v>
          </cell>
          <cell r="S38">
            <v>0</v>
          </cell>
          <cell r="T38"/>
          <cell r="U38">
            <v>72000000</v>
          </cell>
          <cell r="V38"/>
          <cell r="W38">
            <v>10500000</v>
          </cell>
          <cell r="X38"/>
          <cell r="Y38">
            <v>61500000</v>
          </cell>
          <cell r="Z38">
            <v>0</v>
          </cell>
          <cell r="AA38">
            <v>61500000</v>
          </cell>
          <cell r="AB38"/>
        </row>
        <row r="39">
          <cell r="G39">
            <v>4632022</v>
          </cell>
          <cell r="H39" t="str">
            <v>CINDY PAOLA CHACON AMADO</v>
          </cell>
          <cell r="I39" t="str">
            <v>1026270081</v>
          </cell>
          <cell r="J39">
            <v>44587</v>
          </cell>
          <cell r="K39">
            <v>44831</v>
          </cell>
          <cell r="L39" t="str">
            <v>077-22</v>
          </cell>
          <cell r="M39">
            <v>49440000</v>
          </cell>
          <cell r="N39" t="str">
            <v>083-22</v>
          </cell>
          <cell r="O39">
            <v>49440000</v>
          </cell>
          <cell r="P39">
            <v>49440000</v>
          </cell>
          <cell r="Q39"/>
          <cell r="R39">
            <v>49440000</v>
          </cell>
          <cell r="S39">
            <v>0</v>
          </cell>
          <cell r="T39"/>
          <cell r="U39">
            <v>49440000</v>
          </cell>
          <cell r="V39"/>
          <cell r="W39">
            <v>7416000</v>
          </cell>
          <cell r="X39"/>
          <cell r="Y39">
            <v>42024000</v>
          </cell>
          <cell r="Z39">
            <v>0</v>
          </cell>
          <cell r="AA39">
            <v>42024000</v>
          </cell>
          <cell r="AB39"/>
        </row>
        <row r="40">
          <cell r="G40">
            <v>2502022</v>
          </cell>
          <cell r="H40" t="str">
            <v>ANGELA LILIANA CHIGUASUQUE PARDO</v>
          </cell>
          <cell r="I40" t="str">
            <v>1075870770</v>
          </cell>
          <cell r="J40">
            <v>44587</v>
          </cell>
          <cell r="K40">
            <v>44926</v>
          </cell>
          <cell r="L40" t="str">
            <v>056-22</v>
          </cell>
          <cell r="M40">
            <v>28080000</v>
          </cell>
          <cell r="N40" t="str">
            <v>084-22</v>
          </cell>
          <cell r="O40">
            <v>27600000</v>
          </cell>
          <cell r="P40">
            <v>27600000</v>
          </cell>
          <cell r="Q40"/>
          <cell r="R40">
            <v>27600000</v>
          </cell>
          <cell r="S40">
            <v>0</v>
          </cell>
          <cell r="T40"/>
          <cell r="U40">
            <v>27600000</v>
          </cell>
          <cell r="V40"/>
          <cell r="W40">
            <v>2880000</v>
          </cell>
          <cell r="X40"/>
          <cell r="Y40">
            <v>24720000</v>
          </cell>
          <cell r="Z40">
            <v>0</v>
          </cell>
          <cell r="AA40">
            <v>24720000</v>
          </cell>
          <cell r="AB40"/>
        </row>
        <row r="41">
          <cell r="G41">
            <v>4642022</v>
          </cell>
          <cell r="H41" t="str">
            <v>Julián Andrés Velasco Herrera</v>
          </cell>
          <cell r="I41" t="str">
            <v>1098645012</v>
          </cell>
          <cell r="J41">
            <v>44592</v>
          </cell>
          <cell r="K41">
            <v>44834</v>
          </cell>
          <cell r="L41" t="str">
            <v>082-22</v>
          </cell>
          <cell r="M41">
            <v>52960128</v>
          </cell>
          <cell r="N41" t="str">
            <v>085-22</v>
          </cell>
          <cell r="O41">
            <v>52960128</v>
          </cell>
          <cell r="P41">
            <v>52960128</v>
          </cell>
          <cell r="Q41"/>
          <cell r="R41">
            <v>52960128</v>
          </cell>
          <cell r="S41">
            <v>0</v>
          </cell>
          <cell r="T41"/>
          <cell r="U41">
            <v>52960128</v>
          </cell>
          <cell r="V41"/>
          <cell r="W41">
            <v>220667</v>
          </cell>
          <cell r="X41"/>
          <cell r="Y41">
            <v>52739461</v>
          </cell>
          <cell r="Z41">
            <v>0</v>
          </cell>
          <cell r="AA41">
            <v>52739461</v>
          </cell>
          <cell r="AB41"/>
        </row>
        <row r="42">
          <cell r="G42">
            <v>4652022</v>
          </cell>
          <cell r="H42" t="str">
            <v>Jorge David Zorro Bayona</v>
          </cell>
          <cell r="I42" t="str">
            <v>1016067875</v>
          </cell>
          <cell r="J42">
            <v>44589</v>
          </cell>
          <cell r="K42">
            <v>44831</v>
          </cell>
          <cell r="L42" t="str">
            <v>079-22</v>
          </cell>
          <cell r="M42">
            <v>15200000</v>
          </cell>
          <cell r="N42" t="str">
            <v>086-22</v>
          </cell>
          <cell r="O42">
            <v>15200000</v>
          </cell>
          <cell r="P42">
            <v>15200000</v>
          </cell>
          <cell r="Q42"/>
          <cell r="R42">
            <v>15200000</v>
          </cell>
          <cell r="S42">
            <v>0</v>
          </cell>
          <cell r="T42"/>
          <cell r="U42">
            <v>15200000</v>
          </cell>
          <cell r="V42"/>
          <cell r="W42">
            <v>2153333</v>
          </cell>
          <cell r="X42"/>
          <cell r="Y42">
            <v>13046667</v>
          </cell>
          <cell r="Z42">
            <v>0</v>
          </cell>
          <cell r="AA42">
            <v>13046667</v>
          </cell>
          <cell r="AB42"/>
        </row>
        <row r="43">
          <cell r="G43">
            <v>4832022</v>
          </cell>
          <cell r="H43" t="str">
            <v>Maria Fernanda Jaramillo Maffiol</v>
          </cell>
          <cell r="I43" t="str">
            <v>1098714519</v>
          </cell>
          <cell r="J43">
            <v>44592</v>
          </cell>
          <cell r="K43">
            <v>44831</v>
          </cell>
          <cell r="L43" t="str">
            <v>097-22</v>
          </cell>
          <cell r="M43">
            <v>19200000</v>
          </cell>
          <cell r="N43" t="str">
            <v>087-22</v>
          </cell>
          <cell r="O43">
            <v>16974400</v>
          </cell>
          <cell r="P43">
            <v>16974400</v>
          </cell>
          <cell r="Q43"/>
          <cell r="R43">
            <v>16974400</v>
          </cell>
          <cell r="S43">
            <v>0</v>
          </cell>
          <cell r="T43"/>
          <cell r="U43">
            <v>16974400</v>
          </cell>
          <cell r="V43"/>
          <cell r="W43">
            <v>2192526</v>
          </cell>
          <cell r="X43"/>
          <cell r="Y43">
            <v>14781874</v>
          </cell>
          <cell r="Z43">
            <v>0</v>
          </cell>
          <cell r="AA43">
            <v>14781874</v>
          </cell>
          <cell r="AB43"/>
        </row>
        <row r="44">
          <cell r="G44" t="str">
            <v>4802022</v>
          </cell>
          <cell r="H44" t="str">
            <v>KAREN MELISSA REYES MARIN</v>
          </cell>
          <cell r="I44" t="str">
            <v>1092912911</v>
          </cell>
          <cell r="J44"/>
          <cell r="K44"/>
          <cell r="L44" t="str">
            <v>091-22</v>
          </cell>
          <cell r="M44"/>
          <cell r="N44" t="str">
            <v>088-22</v>
          </cell>
          <cell r="O44"/>
          <cell r="P44">
            <v>44133440</v>
          </cell>
          <cell r="Q44"/>
          <cell r="R44">
            <v>44133440</v>
          </cell>
          <cell r="S44">
            <v>0</v>
          </cell>
          <cell r="T44"/>
          <cell r="U44">
            <v>44133440</v>
          </cell>
          <cell r="V44"/>
          <cell r="W44"/>
          <cell r="X44"/>
          <cell r="Y44">
            <v>44133440</v>
          </cell>
          <cell r="Z44">
            <v>0</v>
          </cell>
          <cell r="AA44">
            <v>44133440</v>
          </cell>
          <cell r="AB44"/>
        </row>
        <row r="45">
          <cell r="G45">
            <v>4842022</v>
          </cell>
          <cell r="H45" t="str">
            <v>ANLLY BIVIANA MORA CASTELLANOS</v>
          </cell>
          <cell r="I45" t="str">
            <v>1075672698</v>
          </cell>
          <cell r="J45">
            <v>44592</v>
          </cell>
          <cell r="K45">
            <v>44926</v>
          </cell>
          <cell r="L45" t="str">
            <v>040-22</v>
          </cell>
          <cell r="M45">
            <v>46576600</v>
          </cell>
          <cell r="N45" t="str">
            <v>092-22</v>
          </cell>
          <cell r="O45">
            <v>43706333</v>
          </cell>
          <cell r="P45">
            <v>43706333</v>
          </cell>
          <cell r="Q45"/>
          <cell r="R45">
            <v>43706333</v>
          </cell>
          <cell r="S45">
            <v>0</v>
          </cell>
          <cell r="T45"/>
          <cell r="U45">
            <v>43706333</v>
          </cell>
          <cell r="V45"/>
          <cell r="W45">
            <v>4044467</v>
          </cell>
          <cell r="X45"/>
          <cell r="Y45">
            <v>39661866</v>
          </cell>
          <cell r="Z45">
            <v>0</v>
          </cell>
          <cell r="AA45">
            <v>39661866</v>
          </cell>
          <cell r="AB45"/>
        </row>
        <row r="46">
          <cell r="G46">
            <v>4922022</v>
          </cell>
          <cell r="H46" t="str">
            <v>JHON CRISTIAN RODRIGUEZ CHILITO</v>
          </cell>
          <cell r="I46" t="str">
            <v>76335381</v>
          </cell>
          <cell r="J46">
            <v>44592</v>
          </cell>
          <cell r="K46">
            <v>44832</v>
          </cell>
          <cell r="L46" t="str">
            <v>089-22</v>
          </cell>
          <cell r="M46">
            <v>32800000</v>
          </cell>
          <cell r="N46" t="str">
            <v>094-22</v>
          </cell>
          <cell r="O46">
            <v>32800000</v>
          </cell>
          <cell r="P46">
            <v>32800000</v>
          </cell>
          <cell r="Q46"/>
          <cell r="R46">
            <v>32800000</v>
          </cell>
          <cell r="S46">
            <v>0</v>
          </cell>
          <cell r="T46"/>
          <cell r="U46">
            <v>32800000</v>
          </cell>
          <cell r="V46"/>
          <cell r="W46">
            <v>136666</v>
          </cell>
          <cell r="X46"/>
          <cell r="Y46">
            <v>32663334</v>
          </cell>
          <cell r="Z46">
            <v>0</v>
          </cell>
          <cell r="AA46">
            <v>32663334</v>
          </cell>
          <cell r="AB46"/>
        </row>
        <row r="47">
          <cell r="G47">
            <v>4822022</v>
          </cell>
          <cell r="H47" t="str">
            <v>Luisa Fernanda Ramirez Suarez</v>
          </cell>
          <cell r="I47" t="str">
            <v>1018449369</v>
          </cell>
          <cell r="J47">
            <v>44588</v>
          </cell>
          <cell r="K47">
            <v>44926</v>
          </cell>
          <cell r="L47" t="str">
            <v>099-22</v>
          </cell>
          <cell r="M47">
            <v>71500000</v>
          </cell>
          <cell r="N47" t="str">
            <v>095-22</v>
          </cell>
          <cell r="O47">
            <v>71500000</v>
          </cell>
          <cell r="P47">
            <v>71500000</v>
          </cell>
          <cell r="Q47"/>
          <cell r="R47">
            <v>71500000</v>
          </cell>
          <cell r="S47">
            <v>0</v>
          </cell>
          <cell r="T47"/>
          <cell r="U47">
            <v>71500000</v>
          </cell>
          <cell r="V47"/>
          <cell r="W47">
            <v>7583333</v>
          </cell>
          <cell r="X47"/>
          <cell r="Y47">
            <v>63916667</v>
          </cell>
          <cell r="Z47">
            <v>0</v>
          </cell>
          <cell r="AA47">
            <v>63916667</v>
          </cell>
          <cell r="AB47"/>
        </row>
        <row r="48">
          <cell r="G48" t="str">
            <v>4972022</v>
          </cell>
          <cell r="H48" t="str">
            <v>Julian David Forero Gutierrez</v>
          </cell>
          <cell r="I48" t="str">
            <v>1076621351</v>
          </cell>
          <cell r="J48"/>
          <cell r="K48"/>
          <cell r="L48" t="str">
            <v>090-22</v>
          </cell>
          <cell r="M48"/>
          <cell r="N48" t="str">
            <v>096-22</v>
          </cell>
          <cell r="O48"/>
          <cell r="P48">
            <v>16000000</v>
          </cell>
          <cell r="Q48"/>
          <cell r="R48">
            <v>16000000</v>
          </cell>
          <cell r="S48">
            <v>0</v>
          </cell>
          <cell r="T48"/>
          <cell r="U48">
            <v>16000000</v>
          </cell>
          <cell r="V48"/>
          <cell r="W48"/>
          <cell r="X48"/>
          <cell r="Y48">
            <v>16000000</v>
          </cell>
          <cell r="Z48">
            <v>0</v>
          </cell>
          <cell r="AA48">
            <v>16000000</v>
          </cell>
          <cell r="AB48"/>
        </row>
        <row r="49">
          <cell r="G49">
            <v>5082022</v>
          </cell>
          <cell r="H49" t="str">
            <v>CESAR AUGUSTO OJEDA GALINDO</v>
          </cell>
          <cell r="I49" t="str">
            <v>7182352</v>
          </cell>
          <cell r="J49">
            <v>44592</v>
          </cell>
          <cell r="K49">
            <v>44832</v>
          </cell>
          <cell r="L49" t="str">
            <v>103-22</v>
          </cell>
          <cell r="M49">
            <v>56000000</v>
          </cell>
          <cell r="N49" t="str">
            <v>097-22</v>
          </cell>
          <cell r="O49">
            <v>56000000</v>
          </cell>
          <cell r="P49">
            <v>56000000</v>
          </cell>
          <cell r="Q49"/>
          <cell r="R49">
            <v>56000000</v>
          </cell>
          <cell r="S49">
            <v>0</v>
          </cell>
          <cell r="T49"/>
          <cell r="U49">
            <v>56000000</v>
          </cell>
          <cell r="V49"/>
          <cell r="W49">
            <v>7233333</v>
          </cell>
          <cell r="X49"/>
          <cell r="Y49">
            <v>48766667</v>
          </cell>
          <cell r="Z49">
            <v>0</v>
          </cell>
          <cell r="AA49">
            <v>48766667</v>
          </cell>
          <cell r="AB49"/>
        </row>
        <row r="50">
          <cell r="G50">
            <v>5222022</v>
          </cell>
          <cell r="H50" t="str">
            <v>GERARDO ALBERTO OCHOA VEGA</v>
          </cell>
          <cell r="I50" t="str">
            <v>88032956</v>
          </cell>
          <cell r="J50">
            <v>44589</v>
          </cell>
          <cell r="K50">
            <v>44865</v>
          </cell>
          <cell r="L50" t="str">
            <v>102-22</v>
          </cell>
          <cell r="M50">
            <v>99000000</v>
          </cell>
          <cell r="N50" t="str">
            <v>103-22</v>
          </cell>
          <cell r="O50">
            <v>79440192</v>
          </cell>
          <cell r="P50">
            <v>79440192</v>
          </cell>
          <cell r="Q50"/>
          <cell r="R50">
            <v>79440192</v>
          </cell>
          <cell r="S50">
            <v>0</v>
          </cell>
          <cell r="T50"/>
          <cell r="U50">
            <v>79440192</v>
          </cell>
          <cell r="V50"/>
          <cell r="W50">
            <v>8826688</v>
          </cell>
          <cell r="X50"/>
          <cell r="Y50">
            <v>70613504</v>
          </cell>
          <cell r="Z50">
            <v>0</v>
          </cell>
          <cell r="AA50">
            <v>70613504</v>
          </cell>
          <cell r="AB50"/>
        </row>
        <row r="51">
          <cell r="G51">
            <v>4712022</v>
          </cell>
          <cell r="H51" t="str">
            <v>LAURA CATHERINE PARRA FLOREZ</v>
          </cell>
          <cell r="I51" t="str">
            <v>1136884362</v>
          </cell>
          <cell r="J51">
            <v>44592</v>
          </cell>
          <cell r="K51">
            <v>44829</v>
          </cell>
          <cell r="L51" t="str">
            <v>092-22</v>
          </cell>
          <cell r="M51">
            <v>30400000</v>
          </cell>
          <cell r="N51" t="str">
            <v>105-22</v>
          </cell>
          <cell r="O51">
            <v>30400000</v>
          </cell>
          <cell r="P51">
            <v>30400000</v>
          </cell>
          <cell r="Q51"/>
          <cell r="R51">
            <v>30400000</v>
          </cell>
          <cell r="S51">
            <v>0</v>
          </cell>
          <cell r="T51"/>
          <cell r="U51">
            <v>30400000</v>
          </cell>
          <cell r="V51"/>
          <cell r="W51">
            <v>3926666</v>
          </cell>
          <cell r="X51"/>
          <cell r="Y51">
            <v>26473334</v>
          </cell>
          <cell r="Z51">
            <v>0</v>
          </cell>
          <cell r="AA51">
            <v>26473334</v>
          </cell>
          <cell r="AB51"/>
        </row>
        <row r="52">
          <cell r="G52" t="str">
            <v>5332022</v>
          </cell>
          <cell r="H52" t="str">
            <v>ANGIE NATALIA BUSTOS TRIANA</v>
          </cell>
          <cell r="I52" t="str">
            <v>1018462708</v>
          </cell>
          <cell r="J52"/>
          <cell r="K52"/>
          <cell r="L52" t="str">
            <v>078-22</v>
          </cell>
          <cell r="M52"/>
          <cell r="N52" t="str">
            <v>107-22</v>
          </cell>
          <cell r="O52"/>
          <cell r="P52">
            <v>34059134</v>
          </cell>
          <cell r="Q52"/>
          <cell r="R52">
            <v>34059134</v>
          </cell>
          <cell r="S52">
            <v>0</v>
          </cell>
          <cell r="T52"/>
          <cell r="U52">
            <v>34059134</v>
          </cell>
          <cell r="V52"/>
          <cell r="W52"/>
          <cell r="X52"/>
          <cell r="Y52">
            <v>34059134</v>
          </cell>
          <cell r="Z52">
            <v>0</v>
          </cell>
          <cell r="AA52">
            <v>34059134</v>
          </cell>
          <cell r="AB52"/>
        </row>
        <row r="53">
          <cell r="G53">
            <v>4702022</v>
          </cell>
          <cell r="H53" t="str">
            <v>LAURA BORREGO SÁNCHEZ</v>
          </cell>
          <cell r="I53" t="str">
            <v>1076623040</v>
          </cell>
          <cell r="J53">
            <v>44592</v>
          </cell>
          <cell r="K53">
            <v>44922</v>
          </cell>
          <cell r="L53" t="str">
            <v>106-22</v>
          </cell>
          <cell r="M53">
            <v>46679600</v>
          </cell>
          <cell r="N53" t="str">
            <v>109-22</v>
          </cell>
          <cell r="O53">
            <v>46679600</v>
          </cell>
          <cell r="P53">
            <v>46679600</v>
          </cell>
          <cell r="Q53"/>
          <cell r="R53">
            <v>46679600</v>
          </cell>
          <cell r="S53">
            <v>0</v>
          </cell>
          <cell r="T53"/>
          <cell r="U53">
            <v>46679600</v>
          </cell>
          <cell r="V53"/>
          <cell r="W53">
            <v>4243600</v>
          </cell>
          <cell r="X53"/>
          <cell r="Y53">
            <v>42436000</v>
          </cell>
          <cell r="Z53">
            <v>0</v>
          </cell>
          <cell r="AA53">
            <v>42436000</v>
          </cell>
          <cell r="AB53"/>
        </row>
        <row r="54">
          <cell r="G54">
            <v>5282022</v>
          </cell>
          <cell r="H54" t="str">
            <v>LIZZETH GERALDINE TAVERA GONZALEZ</v>
          </cell>
          <cell r="I54" t="str">
            <v>1121902034</v>
          </cell>
          <cell r="J54">
            <v>44593</v>
          </cell>
          <cell r="K54">
            <v>44803</v>
          </cell>
          <cell r="L54" t="str">
            <v>104-22</v>
          </cell>
          <cell r="M54">
            <v>38616760</v>
          </cell>
          <cell r="N54" t="str">
            <v>110-22</v>
          </cell>
          <cell r="O54">
            <v>38616760</v>
          </cell>
          <cell r="P54">
            <v>38616760</v>
          </cell>
          <cell r="Q54"/>
          <cell r="R54">
            <v>38616760</v>
          </cell>
          <cell r="S54">
            <v>0</v>
          </cell>
          <cell r="T54"/>
          <cell r="U54">
            <v>38616760</v>
          </cell>
          <cell r="V54"/>
          <cell r="W54">
            <v>5516680</v>
          </cell>
          <cell r="X54"/>
          <cell r="Y54">
            <v>33100080</v>
          </cell>
          <cell r="Z54">
            <v>0</v>
          </cell>
          <cell r="AA54">
            <v>33100080</v>
          </cell>
          <cell r="AB54"/>
        </row>
        <row r="55">
          <cell r="G55">
            <v>4532022</v>
          </cell>
          <cell r="H55" t="str">
            <v>LEONARDO BUNCH RODRIGUEZ</v>
          </cell>
          <cell r="I55">
            <v>79391505</v>
          </cell>
          <cell r="J55">
            <v>44595</v>
          </cell>
          <cell r="K55">
            <v>44926</v>
          </cell>
          <cell r="L55" t="str">
            <v>083-22</v>
          </cell>
          <cell r="M55">
            <v>101506912</v>
          </cell>
          <cell r="N55" t="str">
            <v>112-22</v>
          </cell>
          <cell r="O55">
            <v>99153129</v>
          </cell>
          <cell r="P55">
            <v>99153129</v>
          </cell>
          <cell r="Q55"/>
          <cell r="R55">
            <v>99153129</v>
          </cell>
          <cell r="S55">
            <v>0</v>
          </cell>
          <cell r="T55"/>
          <cell r="U55">
            <v>99153129</v>
          </cell>
          <cell r="V55"/>
          <cell r="W55">
            <v>7649796</v>
          </cell>
          <cell r="X55"/>
          <cell r="Y55">
            <v>91503333</v>
          </cell>
          <cell r="Z55">
            <v>0</v>
          </cell>
          <cell r="AA55">
            <v>91503333</v>
          </cell>
          <cell r="AB55"/>
        </row>
        <row r="56">
          <cell r="G56"/>
          <cell r="H56"/>
          <cell r="I56"/>
          <cell r="J56"/>
          <cell r="K56"/>
          <cell r="L56"/>
          <cell r="M56"/>
          <cell r="N56"/>
          <cell r="O56"/>
          <cell r="P56"/>
          <cell r="Q56"/>
          <cell r="R56">
            <v>0</v>
          </cell>
          <cell r="S56">
            <v>0</v>
          </cell>
          <cell r="T56"/>
          <cell r="U56">
            <v>0</v>
          </cell>
          <cell r="V56"/>
          <cell r="W56"/>
          <cell r="X56"/>
          <cell r="Y56">
            <v>0</v>
          </cell>
          <cell r="Z56">
            <v>0</v>
          </cell>
          <cell r="AA56">
            <v>0</v>
          </cell>
          <cell r="AB56"/>
        </row>
        <row r="57">
          <cell r="G57"/>
          <cell r="H57"/>
          <cell r="I57"/>
          <cell r="J57"/>
          <cell r="K57"/>
          <cell r="L57"/>
          <cell r="M57"/>
          <cell r="N57"/>
          <cell r="O57"/>
          <cell r="P57"/>
          <cell r="Q57"/>
          <cell r="R57">
            <v>0</v>
          </cell>
          <cell r="S57">
            <v>0</v>
          </cell>
          <cell r="T57"/>
          <cell r="U57">
            <v>0</v>
          </cell>
          <cell r="V57"/>
          <cell r="W57"/>
          <cell r="X57"/>
          <cell r="Y57">
            <v>0</v>
          </cell>
          <cell r="Z57">
            <v>0</v>
          </cell>
          <cell r="AA57">
            <v>0</v>
          </cell>
          <cell r="AB57"/>
        </row>
        <row r="58">
          <cell r="G58"/>
          <cell r="H58"/>
          <cell r="I58"/>
          <cell r="J58"/>
          <cell r="K58"/>
          <cell r="L58"/>
          <cell r="M58"/>
          <cell r="N58"/>
          <cell r="O58"/>
          <cell r="P58"/>
          <cell r="Q58"/>
          <cell r="R58">
            <v>0</v>
          </cell>
          <cell r="S58">
            <v>0</v>
          </cell>
          <cell r="T58"/>
          <cell r="U58">
            <v>0</v>
          </cell>
          <cell r="V58"/>
          <cell r="W58"/>
          <cell r="X58"/>
          <cell r="Y58">
            <v>0</v>
          </cell>
          <cell r="Z58">
            <v>0</v>
          </cell>
          <cell r="AA58">
            <v>0</v>
          </cell>
          <cell r="AB58"/>
        </row>
        <row r="59">
          <cell r="G59"/>
          <cell r="H59"/>
          <cell r="I59"/>
          <cell r="J59"/>
          <cell r="K59"/>
          <cell r="L59"/>
          <cell r="M59"/>
          <cell r="N59"/>
          <cell r="O59"/>
          <cell r="P59"/>
          <cell r="Q59"/>
          <cell r="R59">
            <v>0</v>
          </cell>
          <cell r="S59">
            <v>0</v>
          </cell>
          <cell r="T59"/>
          <cell r="U59">
            <v>0</v>
          </cell>
          <cell r="V59"/>
          <cell r="W59"/>
          <cell r="X59"/>
          <cell r="Y59">
            <v>0</v>
          </cell>
          <cell r="Z59">
            <v>0</v>
          </cell>
          <cell r="AA59">
            <v>0</v>
          </cell>
          <cell r="AB59"/>
        </row>
        <row r="60">
          <cell r="G60"/>
          <cell r="H60"/>
          <cell r="I60"/>
          <cell r="J60"/>
          <cell r="K60"/>
          <cell r="L60"/>
          <cell r="M60"/>
          <cell r="N60"/>
          <cell r="O60"/>
          <cell r="P60"/>
          <cell r="Q60"/>
          <cell r="R60">
            <v>0</v>
          </cell>
          <cell r="S60">
            <v>0</v>
          </cell>
          <cell r="T60"/>
          <cell r="U60">
            <v>0</v>
          </cell>
          <cell r="V60"/>
          <cell r="W60"/>
          <cell r="X60"/>
          <cell r="Y60">
            <v>0</v>
          </cell>
          <cell r="Z60">
            <v>0</v>
          </cell>
          <cell r="AA60">
            <v>0</v>
          </cell>
          <cell r="AB60"/>
        </row>
        <row r="61">
          <cell r="G61"/>
          <cell r="H61"/>
          <cell r="I61"/>
          <cell r="J61"/>
          <cell r="K61"/>
          <cell r="L61"/>
          <cell r="M61"/>
          <cell r="N61"/>
          <cell r="O61"/>
          <cell r="P61"/>
          <cell r="Q61"/>
          <cell r="R61">
            <v>0</v>
          </cell>
          <cell r="S61">
            <v>0</v>
          </cell>
          <cell r="T61"/>
          <cell r="U61">
            <v>0</v>
          </cell>
          <cell r="V61"/>
          <cell r="W61"/>
          <cell r="X61"/>
          <cell r="Y61">
            <v>0</v>
          </cell>
          <cell r="Z61">
            <v>0</v>
          </cell>
          <cell r="AA61">
            <v>0</v>
          </cell>
          <cell r="AB61"/>
        </row>
        <row r="62">
          <cell r="G62"/>
          <cell r="H62"/>
          <cell r="I62"/>
          <cell r="J62"/>
          <cell r="K62"/>
          <cell r="L62"/>
          <cell r="M62">
            <v>3035698376</v>
          </cell>
          <cell r="N62"/>
          <cell r="O62">
            <v>2977179534</v>
          </cell>
          <cell r="P62">
            <v>3150150298</v>
          </cell>
          <cell r="Q62">
            <v>0</v>
          </cell>
          <cell r="R62">
            <v>3150150298</v>
          </cell>
          <cell r="S62">
            <v>0</v>
          </cell>
          <cell r="T62">
            <v>0</v>
          </cell>
          <cell r="U62">
            <v>3150150298</v>
          </cell>
          <cell r="V62">
            <v>4199849702</v>
          </cell>
          <cell r="W62">
            <v>300159589.33000004</v>
          </cell>
          <cell r="X62">
            <v>0</v>
          </cell>
          <cell r="Y62">
            <v>2849990708.6700001</v>
          </cell>
          <cell r="Z62">
            <v>0</v>
          </cell>
          <cell r="AA62">
            <v>2849990708.6700001</v>
          </cell>
          <cell r="AB62"/>
        </row>
        <row r="63">
          <cell r="G63">
            <v>182022</v>
          </cell>
          <cell r="H63" t="str">
            <v>Elvira del Pilar Forero Hernández</v>
          </cell>
          <cell r="I63">
            <v>66822138</v>
          </cell>
          <cell r="J63">
            <v>44567</v>
          </cell>
          <cell r="K63">
            <v>44926</v>
          </cell>
          <cell r="L63" t="str">
            <v>019-22</v>
          </cell>
          <cell r="M63">
            <v>196768538</v>
          </cell>
          <cell r="N63" t="str">
            <v>009-22</v>
          </cell>
          <cell r="O63">
            <v>196329414</v>
          </cell>
          <cell r="P63">
            <v>156329414</v>
          </cell>
          <cell r="Q63">
            <v>40000000</v>
          </cell>
          <cell r="R63">
            <v>196329414</v>
          </cell>
          <cell r="S63">
            <v>0</v>
          </cell>
          <cell r="T63"/>
          <cell r="U63">
            <v>196329414</v>
          </cell>
          <cell r="V63">
            <v>5375670586</v>
          </cell>
          <cell r="W63">
            <v>24591143</v>
          </cell>
          <cell r="X63"/>
          <cell r="Y63">
            <v>131738271</v>
          </cell>
          <cell r="Z63">
            <v>40000000</v>
          </cell>
          <cell r="AA63">
            <v>171738271</v>
          </cell>
          <cell r="AB63"/>
        </row>
        <row r="64">
          <cell r="G64">
            <v>4722022</v>
          </cell>
          <cell r="H64" t="str">
            <v>Felipe Chavez Martinez</v>
          </cell>
          <cell r="I64">
            <v>12979582</v>
          </cell>
          <cell r="J64">
            <v>44589</v>
          </cell>
          <cell r="K64">
            <v>44893</v>
          </cell>
          <cell r="L64" t="str">
            <v>084-22</v>
          </cell>
          <cell r="M64">
            <v>80000000</v>
          </cell>
          <cell r="N64" t="str">
            <v>090-22</v>
          </cell>
          <cell r="O64">
            <v>80000000</v>
          </cell>
          <cell r="P64">
            <v>80000000</v>
          </cell>
          <cell r="Q64"/>
          <cell r="R64">
            <v>80000000</v>
          </cell>
          <cell r="S64">
            <v>0</v>
          </cell>
          <cell r="T64"/>
          <cell r="U64">
            <v>80000000</v>
          </cell>
          <cell r="V64"/>
          <cell r="W64">
            <v>9066667</v>
          </cell>
          <cell r="X64"/>
          <cell r="Y64">
            <v>70933333</v>
          </cell>
          <cell r="Z64">
            <v>0</v>
          </cell>
          <cell r="AA64">
            <v>70933333</v>
          </cell>
          <cell r="AB64"/>
        </row>
        <row r="65">
          <cell r="G65">
            <v>5112022</v>
          </cell>
          <cell r="H65" t="str">
            <v>Sulay Saira Medina Poveda</v>
          </cell>
          <cell r="I65" t="str">
            <v>46678409</v>
          </cell>
          <cell r="J65">
            <v>44592</v>
          </cell>
          <cell r="K65">
            <v>44832</v>
          </cell>
          <cell r="L65" t="str">
            <v>101-22</v>
          </cell>
          <cell r="M65">
            <v>48000000</v>
          </cell>
          <cell r="N65" t="str">
            <v>099-22</v>
          </cell>
          <cell r="O65">
            <v>48000000</v>
          </cell>
          <cell r="P65">
            <v>48000000</v>
          </cell>
          <cell r="Q65"/>
          <cell r="R65">
            <v>48000000</v>
          </cell>
          <cell r="S65">
            <v>0</v>
          </cell>
          <cell r="T65"/>
          <cell r="U65">
            <v>48000000</v>
          </cell>
          <cell r="V65"/>
          <cell r="W65">
            <v>6200000</v>
          </cell>
          <cell r="X65"/>
          <cell r="Y65">
            <v>41800000</v>
          </cell>
          <cell r="Z65">
            <v>0</v>
          </cell>
          <cell r="AA65">
            <v>41800000</v>
          </cell>
          <cell r="AB65"/>
        </row>
        <row r="66">
          <cell r="G66"/>
          <cell r="H66"/>
          <cell r="I66"/>
          <cell r="J66"/>
          <cell r="K66"/>
          <cell r="L66"/>
          <cell r="M66"/>
          <cell r="N66"/>
          <cell r="O66"/>
          <cell r="P66"/>
          <cell r="Q66"/>
          <cell r="R66">
            <v>0</v>
          </cell>
          <cell r="S66">
            <v>0</v>
          </cell>
          <cell r="T66"/>
          <cell r="U66">
            <v>0</v>
          </cell>
          <cell r="V66"/>
          <cell r="W66"/>
          <cell r="X66"/>
          <cell r="Y66">
            <v>0</v>
          </cell>
          <cell r="Z66">
            <v>0</v>
          </cell>
          <cell r="AA66">
            <v>0</v>
          </cell>
          <cell r="AB66"/>
        </row>
        <row r="67">
          <cell r="G67"/>
          <cell r="H67"/>
          <cell r="I67"/>
          <cell r="J67"/>
          <cell r="K67"/>
          <cell r="L67"/>
          <cell r="M67"/>
          <cell r="N67"/>
          <cell r="O67"/>
          <cell r="P67"/>
          <cell r="Q67"/>
          <cell r="R67">
            <v>0</v>
          </cell>
          <cell r="S67">
            <v>0</v>
          </cell>
          <cell r="T67"/>
          <cell r="U67">
            <v>0</v>
          </cell>
          <cell r="V67"/>
          <cell r="W67"/>
          <cell r="X67"/>
          <cell r="Y67">
            <v>0</v>
          </cell>
          <cell r="Z67">
            <v>0</v>
          </cell>
          <cell r="AA67">
            <v>0</v>
          </cell>
          <cell r="AB67"/>
        </row>
        <row r="68">
          <cell r="G68"/>
          <cell r="H68"/>
          <cell r="I68"/>
          <cell r="J68"/>
          <cell r="K68"/>
          <cell r="L68"/>
          <cell r="M68"/>
          <cell r="N68"/>
          <cell r="O68"/>
          <cell r="P68"/>
          <cell r="Q68"/>
          <cell r="R68">
            <v>0</v>
          </cell>
          <cell r="S68">
            <v>0</v>
          </cell>
          <cell r="T68"/>
          <cell r="U68">
            <v>0</v>
          </cell>
          <cell r="V68"/>
          <cell r="W68"/>
          <cell r="X68"/>
          <cell r="Y68">
            <v>0</v>
          </cell>
          <cell r="Z68">
            <v>0</v>
          </cell>
          <cell r="AA68">
            <v>0</v>
          </cell>
          <cell r="AB68"/>
        </row>
        <row r="69">
          <cell r="G69"/>
          <cell r="H69"/>
          <cell r="I69"/>
          <cell r="J69"/>
          <cell r="K69"/>
          <cell r="L69"/>
          <cell r="M69"/>
          <cell r="N69"/>
          <cell r="O69"/>
          <cell r="P69"/>
          <cell r="Q69"/>
          <cell r="R69">
            <v>0</v>
          </cell>
          <cell r="S69">
            <v>0</v>
          </cell>
          <cell r="T69"/>
          <cell r="U69">
            <v>0</v>
          </cell>
          <cell r="V69"/>
          <cell r="W69"/>
          <cell r="X69"/>
          <cell r="Y69">
            <v>0</v>
          </cell>
          <cell r="Z69">
            <v>0</v>
          </cell>
          <cell r="AA69">
            <v>0</v>
          </cell>
          <cell r="AB69"/>
        </row>
        <row r="70">
          <cell r="G70"/>
          <cell r="H70"/>
          <cell r="I70"/>
          <cell r="J70"/>
          <cell r="K70"/>
          <cell r="L70"/>
          <cell r="M70"/>
          <cell r="N70"/>
          <cell r="O70"/>
          <cell r="P70"/>
          <cell r="Q70"/>
          <cell r="R70">
            <v>0</v>
          </cell>
          <cell r="S70">
            <v>0</v>
          </cell>
          <cell r="T70"/>
          <cell r="U70">
            <v>0</v>
          </cell>
          <cell r="V70"/>
          <cell r="W70"/>
          <cell r="X70"/>
          <cell r="Y70">
            <v>0</v>
          </cell>
          <cell r="Z70">
            <v>0</v>
          </cell>
          <cell r="AA70">
            <v>0</v>
          </cell>
          <cell r="AB70"/>
        </row>
        <row r="71">
          <cell r="G71"/>
          <cell r="H71"/>
          <cell r="I71"/>
          <cell r="J71"/>
          <cell r="K71"/>
          <cell r="L71"/>
          <cell r="M71">
            <v>324768538</v>
          </cell>
          <cell r="N71"/>
          <cell r="O71">
            <v>324329414</v>
          </cell>
          <cell r="P71">
            <v>284329414</v>
          </cell>
          <cell r="Q71">
            <v>40000000</v>
          </cell>
          <cell r="R71">
            <v>324329414</v>
          </cell>
          <cell r="S71">
            <v>0</v>
          </cell>
          <cell r="T71">
            <v>0</v>
          </cell>
          <cell r="U71">
            <v>324329414</v>
          </cell>
          <cell r="V71">
            <v>5375670586</v>
          </cell>
          <cell r="W71">
            <v>39857810</v>
          </cell>
          <cell r="X71">
            <v>0</v>
          </cell>
          <cell r="Y71">
            <v>244471604</v>
          </cell>
          <cell r="Z71">
            <v>40000000</v>
          </cell>
          <cell r="AA71">
            <v>284471604</v>
          </cell>
          <cell r="AB71"/>
        </row>
        <row r="72">
          <cell r="G72">
            <v>352022</v>
          </cell>
          <cell r="H72" t="str">
            <v>María Alejandra Santos yepes</v>
          </cell>
          <cell r="I72">
            <v>1110461250</v>
          </cell>
          <cell r="J72">
            <v>44568</v>
          </cell>
          <cell r="K72">
            <v>44809</v>
          </cell>
          <cell r="L72" t="str">
            <v>022-22</v>
          </cell>
          <cell r="M72">
            <v>56864240</v>
          </cell>
          <cell r="N72" t="str">
            <v>011-22</v>
          </cell>
          <cell r="O72">
            <v>56864240</v>
          </cell>
          <cell r="P72">
            <v>56864240</v>
          </cell>
          <cell r="Q72"/>
          <cell r="R72">
            <v>56864240</v>
          </cell>
          <cell r="S72">
            <v>0</v>
          </cell>
          <cell r="T72"/>
          <cell r="U72">
            <v>56864240</v>
          </cell>
          <cell r="V72">
            <v>1262663765</v>
          </cell>
          <cell r="W72">
            <v>13031388</v>
          </cell>
          <cell r="X72"/>
          <cell r="Y72">
            <v>43832852</v>
          </cell>
          <cell r="Z72">
            <v>0</v>
          </cell>
          <cell r="AA72">
            <v>43832852</v>
          </cell>
          <cell r="AB72"/>
        </row>
        <row r="73">
          <cell r="G73">
            <v>572022</v>
          </cell>
          <cell r="H73" t="str">
            <v>Diego Fernando Castellanos Jaramillo</v>
          </cell>
          <cell r="I73">
            <v>80503024</v>
          </cell>
          <cell r="J73">
            <v>44572</v>
          </cell>
          <cell r="K73">
            <v>44926</v>
          </cell>
          <cell r="L73" t="str">
            <v>011-22</v>
          </cell>
          <cell r="M73">
            <v>98056000</v>
          </cell>
          <cell r="N73" t="str">
            <v>018-22</v>
          </cell>
          <cell r="O73">
            <v>98056000</v>
          </cell>
          <cell r="P73">
            <v>98056000</v>
          </cell>
          <cell r="Q73"/>
          <cell r="R73">
            <v>98056000</v>
          </cell>
          <cell r="S73">
            <v>0</v>
          </cell>
          <cell r="T73"/>
          <cell r="U73">
            <v>98056000</v>
          </cell>
          <cell r="V73"/>
          <cell r="W73">
            <v>14008000</v>
          </cell>
          <cell r="X73"/>
          <cell r="Y73">
            <v>84048000</v>
          </cell>
          <cell r="Z73">
            <v>0</v>
          </cell>
          <cell r="AA73">
            <v>84048000</v>
          </cell>
          <cell r="AB73"/>
        </row>
        <row r="74">
          <cell r="G74">
            <v>1482022</v>
          </cell>
          <cell r="H74" t="str">
            <v>Jeimmy Magdaly Rojas Betancourt</v>
          </cell>
          <cell r="I74">
            <v>1033735017</v>
          </cell>
          <cell r="J74">
            <v>44573</v>
          </cell>
          <cell r="K74">
            <v>44926</v>
          </cell>
          <cell r="L74" t="str">
            <v>032-22</v>
          </cell>
          <cell r="M74">
            <v>63123550</v>
          </cell>
          <cell r="N74" t="str">
            <v>025-22</v>
          </cell>
          <cell r="O74">
            <v>63123550</v>
          </cell>
          <cell r="P74">
            <v>63123550</v>
          </cell>
          <cell r="Q74"/>
          <cell r="R74">
            <v>63123550</v>
          </cell>
          <cell r="S74">
            <v>0</v>
          </cell>
          <cell r="T74"/>
          <cell r="U74">
            <v>63123550</v>
          </cell>
          <cell r="V74"/>
          <cell r="W74">
            <v>8840833</v>
          </cell>
          <cell r="X74"/>
          <cell r="Y74">
            <v>54282717</v>
          </cell>
          <cell r="Z74">
            <v>0</v>
          </cell>
          <cell r="AA74">
            <v>54282717</v>
          </cell>
          <cell r="AB74"/>
        </row>
        <row r="75">
          <cell r="G75">
            <v>1592022</v>
          </cell>
          <cell r="H75" t="str">
            <v>Sandra Johanna Navia Gómez</v>
          </cell>
          <cell r="I75">
            <v>38556023</v>
          </cell>
          <cell r="J75">
            <v>44575</v>
          </cell>
          <cell r="K75">
            <v>44926</v>
          </cell>
          <cell r="L75" t="str">
            <v>035-22</v>
          </cell>
          <cell r="M75">
            <v>107310035</v>
          </cell>
          <cell r="N75" t="str">
            <v>027-22</v>
          </cell>
          <cell r="O75">
            <v>105205917</v>
          </cell>
          <cell r="P75">
            <v>105205917</v>
          </cell>
          <cell r="Q75"/>
          <cell r="R75">
            <v>105205917</v>
          </cell>
          <cell r="S75">
            <v>0</v>
          </cell>
          <cell r="T75"/>
          <cell r="U75">
            <v>105205917</v>
          </cell>
          <cell r="V75"/>
          <cell r="W75">
            <v>14428240</v>
          </cell>
          <cell r="X75"/>
          <cell r="Y75">
            <v>90777677</v>
          </cell>
          <cell r="Z75">
            <v>0</v>
          </cell>
          <cell r="AA75">
            <v>90777677</v>
          </cell>
          <cell r="AB75"/>
        </row>
        <row r="76">
          <cell r="G76">
            <v>3392022</v>
          </cell>
          <cell r="H76" t="str">
            <v>JUAN CARLOS CAICEDO BUELVAS</v>
          </cell>
          <cell r="I76">
            <v>79650959</v>
          </cell>
          <cell r="J76">
            <v>44581</v>
          </cell>
          <cell r="K76">
            <v>44760</v>
          </cell>
          <cell r="L76" t="str">
            <v>063-22</v>
          </cell>
          <cell r="M76">
            <v>39720096</v>
          </cell>
          <cell r="N76" t="str">
            <v>046-22</v>
          </cell>
          <cell r="O76">
            <v>39720096</v>
          </cell>
          <cell r="P76">
            <v>39720096</v>
          </cell>
          <cell r="Q76"/>
          <cell r="R76">
            <v>39720096</v>
          </cell>
          <cell r="S76">
            <v>0</v>
          </cell>
          <cell r="T76"/>
          <cell r="U76">
            <v>39720096</v>
          </cell>
          <cell r="V76"/>
          <cell r="W76">
            <v>2648006</v>
          </cell>
          <cell r="X76"/>
          <cell r="Y76">
            <v>37072090</v>
          </cell>
          <cell r="Z76">
            <v>0</v>
          </cell>
          <cell r="AA76">
            <v>37072090</v>
          </cell>
          <cell r="AB76"/>
        </row>
        <row r="77">
          <cell r="G77">
            <v>3412022</v>
          </cell>
          <cell r="H77" t="str">
            <v>JOSÉ WILLIAM ALVARADO</v>
          </cell>
          <cell r="I77">
            <v>19450696</v>
          </cell>
          <cell r="J77">
            <v>44586</v>
          </cell>
          <cell r="K77">
            <v>44926</v>
          </cell>
          <cell r="L77" t="str">
            <v>037-22</v>
          </cell>
          <cell r="M77">
            <v>100997680</v>
          </cell>
          <cell r="N77" t="str">
            <v>048-22</v>
          </cell>
          <cell r="O77">
            <v>97036987</v>
          </cell>
          <cell r="P77">
            <v>97036987</v>
          </cell>
          <cell r="Q77"/>
          <cell r="R77">
            <v>97036987</v>
          </cell>
          <cell r="S77">
            <v>0</v>
          </cell>
          <cell r="T77"/>
          <cell r="U77">
            <v>97036987</v>
          </cell>
          <cell r="V77"/>
          <cell r="W77">
            <v>10467547</v>
          </cell>
          <cell r="X77"/>
          <cell r="Y77">
            <v>86569440</v>
          </cell>
          <cell r="Z77">
            <v>0</v>
          </cell>
          <cell r="AA77">
            <v>86569440</v>
          </cell>
          <cell r="AB77"/>
        </row>
        <row r="78">
          <cell r="G78">
            <v>3422022</v>
          </cell>
          <cell r="H78" t="str">
            <v>Margareth Alejandra Lugo Pinzon</v>
          </cell>
          <cell r="I78" t="str">
            <v>1125473350</v>
          </cell>
          <cell r="J78">
            <v>44582</v>
          </cell>
          <cell r="K78">
            <v>44762</v>
          </cell>
          <cell r="L78" t="str">
            <v>047-22</v>
          </cell>
          <cell r="M78">
            <v>23170056</v>
          </cell>
          <cell r="N78" t="str">
            <v>064-22</v>
          </cell>
          <cell r="O78">
            <v>23170056</v>
          </cell>
          <cell r="P78">
            <v>23170056</v>
          </cell>
          <cell r="Q78"/>
          <cell r="R78">
            <v>23170056</v>
          </cell>
          <cell r="S78">
            <v>0</v>
          </cell>
          <cell r="T78"/>
          <cell r="U78">
            <v>23170056</v>
          </cell>
          <cell r="V78"/>
          <cell r="W78">
            <v>4634011</v>
          </cell>
          <cell r="X78"/>
          <cell r="Y78">
            <v>18536045</v>
          </cell>
          <cell r="Z78">
            <v>0</v>
          </cell>
          <cell r="AA78">
            <v>18536045</v>
          </cell>
          <cell r="AB78"/>
        </row>
        <row r="79">
          <cell r="G79">
            <v>4342022</v>
          </cell>
          <cell r="H79" t="str">
            <v>MARIA DANIELA CASTAÑO DE LA TORRE</v>
          </cell>
          <cell r="I79" t="str">
            <v>1088292981</v>
          </cell>
          <cell r="J79">
            <v>44587</v>
          </cell>
          <cell r="K79">
            <v>44830</v>
          </cell>
          <cell r="L79" t="str">
            <v>086-22</v>
          </cell>
          <cell r="M79">
            <v>52960128</v>
          </cell>
          <cell r="N79" t="str">
            <v>077-22</v>
          </cell>
          <cell r="O79">
            <v>52960128</v>
          </cell>
          <cell r="P79">
            <v>52960128</v>
          </cell>
          <cell r="Q79"/>
          <cell r="R79">
            <v>52960128</v>
          </cell>
          <cell r="S79">
            <v>0</v>
          </cell>
          <cell r="T79"/>
          <cell r="U79">
            <v>52960128</v>
          </cell>
          <cell r="V79"/>
          <cell r="W79">
            <v>7944019</v>
          </cell>
          <cell r="X79"/>
          <cell r="Y79">
            <v>45016109</v>
          </cell>
          <cell r="Z79">
            <v>0</v>
          </cell>
          <cell r="AA79">
            <v>45016109</v>
          </cell>
          <cell r="AB79"/>
        </row>
        <row r="80">
          <cell r="G80">
            <v>4782022</v>
          </cell>
          <cell r="H80" t="str">
            <v>Luis Roberto Cruz Gonzalez</v>
          </cell>
          <cell r="I80" t="str">
            <v>13502444</v>
          </cell>
          <cell r="J80">
            <v>44589</v>
          </cell>
          <cell r="K80">
            <v>44921</v>
          </cell>
          <cell r="L80" t="str">
            <v>096-22</v>
          </cell>
          <cell r="M80">
            <v>108900000</v>
          </cell>
          <cell r="N80" t="str">
            <v>091-22</v>
          </cell>
          <cell r="O80">
            <v>108900000</v>
          </cell>
          <cell r="P80">
            <v>108900000</v>
          </cell>
          <cell r="Q80"/>
          <cell r="R80">
            <v>108900000</v>
          </cell>
          <cell r="S80">
            <v>0</v>
          </cell>
          <cell r="T80"/>
          <cell r="U80">
            <v>108900000</v>
          </cell>
          <cell r="V80"/>
          <cell r="W80">
            <v>11220000</v>
          </cell>
          <cell r="X80"/>
          <cell r="Y80">
            <v>97680000</v>
          </cell>
          <cell r="Z80">
            <v>0</v>
          </cell>
          <cell r="AA80">
            <v>97680000</v>
          </cell>
          <cell r="AB80"/>
        </row>
        <row r="81">
          <cell r="G81">
            <v>5042022</v>
          </cell>
          <cell r="H81" t="str">
            <v>MANUEL ENRIQUE  GOMEZ CAMARGO</v>
          </cell>
          <cell r="I81" t="str">
            <v>73569541</v>
          </cell>
          <cell r="J81">
            <v>44592</v>
          </cell>
          <cell r="K81">
            <v>44834</v>
          </cell>
          <cell r="L81" t="str">
            <v>093-22</v>
          </cell>
          <cell r="M81">
            <v>52960128</v>
          </cell>
          <cell r="N81" t="str">
            <v>102-22</v>
          </cell>
          <cell r="O81">
            <v>52960128</v>
          </cell>
          <cell r="P81">
            <v>52960128</v>
          </cell>
          <cell r="Q81"/>
          <cell r="R81">
            <v>52960128</v>
          </cell>
          <cell r="S81">
            <v>0</v>
          </cell>
          <cell r="T81"/>
          <cell r="U81">
            <v>52960128</v>
          </cell>
          <cell r="V81"/>
          <cell r="W81">
            <v>220667</v>
          </cell>
          <cell r="X81"/>
          <cell r="Y81">
            <v>52739461</v>
          </cell>
          <cell r="Z81">
            <v>0</v>
          </cell>
          <cell r="AA81">
            <v>52739461</v>
          </cell>
          <cell r="AB81"/>
        </row>
        <row r="82">
          <cell r="G82">
            <v>4562022</v>
          </cell>
          <cell r="H82" t="str">
            <v>LILIA ALEJANDRA SANCLEMENTE VELÁSQUEZ</v>
          </cell>
          <cell r="I82" t="str">
            <v>52743156</v>
          </cell>
          <cell r="J82">
            <v>44592</v>
          </cell>
          <cell r="K82">
            <v>44926</v>
          </cell>
          <cell r="L82" t="str">
            <v>076-22</v>
          </cell>
          <cell r="M82">
            <v>39922800</v>
          </cell>
          <cell r="N82" t="str">
            <v>108-22</v>
          </cell>
          <cell r="O82">
            <v>39339133</v>
          </cell>
          <cell r="P82">
            <v>39339133</v>
          </cell>
          <cell r="Q82"/>
          <cell r="R82">
            <v>39339133</v>
          </cell>
          <cell r="S82">
            <v>0</v>
          </cell>
          <cell r="T82"/>
          <cell r="U82">
            <v>39339133</v>
          </cell>
          <cell r="V82"/>
          <cell r="W82">
            <v>3618733</v>
          </cell>
          <cell r="X82"/>
          <cell r="Y82">
            <v>35720400</v>
          </cell>
          <cell r="Z82">
            <v>0</v>
          </cell>
          <cell r="AA82">
            <v>35720400</v>
          </cell>
          <cell r="AB82"/>
        </row>
        <row r="83">
          <cell r="G83"/>
          <cell r="H83"/>
          <cell r="I83"/>
          <cell r="J83"/>
          <cell r="K83"/>
          <cell r="L83"/>
          <cell r="M83"/>
          <cell r="N83"/>
          <cell r="O83"/>
          <cell r="P83"/>
          <cell r="Q83"/>
          <cell r="R83">
            <v>0</v>
          </cell>
          <cell r="S83">
            <v>0</v>
          </cell>
          <cell r="T83"/>
          <cell r="U83">
            <v>0</v>
          </cell>
          <cell r="V83"/>
          <cell r="W83"/>
          <cell r="X83"/>
          <cell r="Y83">
            <v>0</v>
          </cell>
          <cell r="Z83">
            <v>0</v>
          </cell>
          <cell r="AA83">
            <v>0</v>
          </cell>
          <cell r="AB83"/>
        </row>
        <row r="84">
          <cell r="G84"/>
          <cell r="H84"/>
          <cell r="I84"/>
          <cell r="J84"/>
          <cell r="K84"/>
          <cell r="L84"/>
          <cell r="M84"/>
          <cell r="N84"/>
          <cell r="O84"/>
          <cell r="P84"/>
          <cell r="Q84"/>
          <cell r="R84">
            <v>0</v>
          </cell>
          <cell r="S84">
            <v>0</v>
          </cell>
          <cell r="T84"/>
          <cell r="U84">
            <v>0</v>
          </cell>
          <cell r="V84"/>
          <cell r="W84"/>
          <cell r="X84"/>
          <cell r="Y84">
            <v>0</v>
          </cell>
          <cell r="Z84">
            <v>0</v>
          </cell>
          <cell r="AA84">
            <v>0</v>
          </cell>
          <cell r="AB84"/>
        </row>
        <row r="85">
          <cell r="G85"/>
          <cell r="H85"/>
          <cell r="I85"/>
          <cell r="J85"/>
          <cell r="K85"/>
          <cell r="L85"/>
          <cell r="M85"/>
          <cell r="N85"/>
          <cell r="O85"/>
          <cell r="P85"/>
          <cell r="Q85"/>
          <cell r="R85">
            <v>0</v>
          </cell>
          <cell r="S85">
            <v>0</v>
          </cell>
          <cell r="T85"/>
          <cell r="U85">
            <v>0</v>
          </cell>
          <cell r="V85"/>
          <cell r="W85"/>
          <cell r="X85"/>
          <cell r="Y85">
            <v>0</v>
          </cell>
          <cell r="Z85">
            <v>0</v>
          </cell>
          <cell r="AA85">
            <v>0</v>
          </cell>
          <cell r="AB85"/>
        </row>
        <row r="86">
          <cell r="G86"/>
          <cell r="H86"/>
          <cell r="I86"/>
          <cell r="J86"/>
          <cell r="K86"/>
          <cell r="L86"/>
          <cell r="M86"/>
          <cell r="N86"/>
          <cell r="O86"/>
          <cell r="P86"/>
          <cell r="Q86"/>
          <cell r="R86">
            <v>0</v>
          </cell>
          <cell r="S86">
            <v>0</v>
          </cell>
          <cell r="T86"/>
          <cell r="U86">
            <v>0</v>
          </cell>
          <cell r="V86"/>
          <cell r="W86"/>
          <cell r="X86"/>
          <cell r="Y86">
            <v>0</v>
          </cell>
          <cell r="Z86">
            <v>0</v>
          </cell>
          <cell r="AA86">
            <v>0</v>
          </cell>
          <cell r="AB86"/>
        </row>
        <row r="87">
          <cell r="G87"/>
          <cell r="H87"/>
          <cell r="I87"/>
          <cell r="J87"/>
          <cell r="K87"/>
          <cell r="L87"/>
          <cell r="M87"/>
          <cell r="N87"/>
          <cell r="O87"/>
          <cell r="P87"/>
          <cell r="Q87"/>
          <cell r="R87">
            <v>0</v>
          </cell>
          <cell r="S87">
            <v>0</v>
          </cell>
          <cell r="T87"/>
          <cell r="U87">
            <v>0</v>
          </cell>
          <cell r="V87"/>
          <cell r="W87"/>
          <cell r="X87"/>
          <cell r="Y87">
            <v>0</v>
          </cell>
          <cell r="Z87">
            <v>0</v>
          </cell>
          <cell r="AA87">
            <v>0</v>
          </cell>
          <cell r="AB87"/>
        </row>
        <row r="88">
          <cell r="G88"/>
          <cell r="H88"/>
          <cell r="I88"/>
          <cell r="J88"/>
          <cell r="K88"/>
          <cell r="L88"/>
          <cell r="M88"/>
          <cell r="N88"/>
          <cell r="O88"/>
          <cell r="P88"/>
          <cell r="Q88"/>
          <cell r="R88">
            <v>0</v>
          </cell>
          <cell r="S88">
            <v>0</v>
          </cell>
          <cell r="T88"/>
          <cell r="U88">
            <v>0</v>
          </cell>
          <cell r="V88"/>
          <cell r="W88"/>
          <cell r="X88"/>
          <cell r="Y88">
            <v>0</v>
          </cell>
          <cell r="Z88">
            <v>0</v>
          </cell>
          <cell r="AA88">
            <v>0</v>
          </cell>
          <cell r="AB88"/>
        </row>
        <row r="89">
          <cell r="G89"/>
          <cell r="H89"/>
          <cell r="I89"/>
          <cell r="J89"/>
          <cell r="K89"/>
          <cell r="L89"/>
          <cell r="M89"/>
          <cell r="N89"/>
          <cell r="O89"/>
          <cell r="P89"/>
          <cell r="Q89"/>
          <cell r="R89">
            <v>0</v>
          </cell>
          <cell r="S89">
            <v>0</v>
          </cell>
          <cell r="T89"/>
          <cell r="U89">
            <v>0</v>
          </cell>
          <cell r="V89"/>
          <cell r="W89"/>
          <cell r="X89"/>
          <cell r="Y89">
            <v>0</v>
          </cell>
          <cell r="Z89">
            <v>0</v>
          </cell>
          <cell r="AA89">
            <v>0</v>
          </cell>
          <cell r="AB89"/>
        </row>
        <row r="90">
          <cell r="G90"/>
          <cell r="H90"/>
          <cell r="I90"/>
          <cell r="J90"/>
          <cell r="K90"/>
          <cell r="L90"/>
          <cell r="M90"/>
          <cell r="N90"/>
          <cell r="O90"/>
          <cell r="P90"/>
          <cell r="Q90"/>
          <cell r="R90">
            <v>0</v>
          </cell>
          <cell r="S90">
            <v>0</v>
          </cell>
          <cell r="T90"/>
          <cell r="U90">
            <v>0</v>
          </cell>
          <cell r="V90"/>
          <cell r="W90"/>
          <cell r="X90"/>
          <cell r="Y90">
            <v>0</v>
          </cell>
          <cell r="Z90">
            <v>0</v>
          </cell>
          <cell r="AA90">
            <v>0</v>
          </cell>
          <cell r="AB90"/>
        </row>
        <row r="91">
          <cell r="G91"/>
          <cell r="H91"/>
          <cell r="I91"/>
          <cell r="J91"/>
          <cell r="K91"/>
          <cell r="L91"/>
          <cell r="M91"/>
          <cell r="N91"/>
          <cell r="O91"/>
          <cell r="P91"/>
          <cell r="Q91"/>
          <cell r="R91">
            <v>0</v>
          </cell>
          <cell r="S91">
            <v>0</v>
          </cell>
          <cell r="T91"/>
          <cell r="U91">
            <v>0</v>
          </cell>
          <cell r="V91"/>
          <cell r="W91"/>
          <cell r="X91"/>
          <cell r="Y91">
            <v>0</v>
          </cell>
          <cell r="Z91">
            <v>0</v>
          </cell>
          <cell r="AA91">
            <v>0</v>
          </cell>
          <cell r="AB91"/>
        </row>
        <row r="92">
          <cell r="G92"/>
          <cell r="H92"/>
          <cell r="I92"/>
          <cell r="J92"/>
          <cell r="K92"/>
          <cell r="L92"/>
          <cell r="M92"/>
          <cell r="N92"/>
          <cell r="O92"/>
          <cell r="P92"/>
          <cell r="Q92"/>
          <cell r="R92">
            <v>0</v>
          </cell>
          <cell r="S92">
            <v>0</v>
          </cell>
          <cell r="T92"/>
          <cell r="U92">
            <v>0</v>
          </cell>
          <cell r="V92"/>
          <cell r="W92"/>
          <cell r="X92"/>
          <cell r="Y92">
            <v>0</v>
          </cell>
          <cell r="Z92">
            <v>0</v>
          </cell>
          <cell r="AA92">
            <v>0</v>
          </cell>
          <cell r="AB92"/>
        </row>
        <row r="93">
          <cell r="G93"/>
          <cell r="H93"/>
          <cell r="I93"/>
          <cell r="J93"/>
          <cell r="K93"/>
          <cell r="L93"/>
          <cell r="M93">
            <v>743984713</v>
          </cell>
          <cell r="N93"/>
          <cell r="O93">
            <v>737336235</v>
          </cell>
          <cell r="P93">
            <v>737336235</v>
          </cell>
          <cell r="Q93">
            <v>0</v>
          </cell>
          <cell r="R93">
            <v>737336235</v>
          </cell>
          <cell r="S93">
            <v>0</v>
          </cell>
          <cell r="T93">
            <v>0</v>
          </cell>
          <cell r="U93">
            <v>737336235</v>
          </cell>
          <cell r="V93">
            <v>1262663765</v>
          </cell>
          <cell r="W93">
            <v>91061444</v>
          </cell>
          <cell r="X93">
            <v>0</v>
          </cell>
          <cell r="Y93">
            <v>646274791</v>
          </cell>
          <cell r="Z93">
            <v>0</v>
          </cell>
          <cell r="AA93">
            <v>646274791</v>
          </cell>
          <cell r="AB93"/>
        </row>
        <row r="94">
          <cell r="G94"/>
          <cell r="H94"/>
          <cell r="I94"/>
          <cell r="J94"/>
          <cell r="K94"/>
          <cell r="L94"/>
          <cell r="M94"/>
          <cell r="N94"/>
          <cell r="O94"/>
          <cell r="P94"/>
          <cell r="Q94"/>
          <cell r="R94">
            <v>0</v>
          </cell>
          <cell r="S94">
            <v>0</v>
          </cell>
          <cell r="T94"/>
          <cell r="U94">
            <v>0</v>
          </cell>
          <cell r="V94">
            <v>4200000000</v>
          </cell>
          <cell r="W94"/>
          <cell r="X94"/>
          <cell r="Y94">
            <v>0</v>
          </cell>
          <cell r="Z94">
            <v>0</v>
          </cell>
          <cell r="AA94">
            <v>0</v>
          </cell>
          <cell r="AB94"/>
        </row>
        <row r="95">
          <cell r="G95"/>
          <cell r="H95"/>
          <cell r="I95"/>
          <cell r="J95"/>
          <cell r="K95"/>
          <cell r="L95"/>
          <cell r="M95"/>
          <cell r="N95"/>
          <cell r="O95"/>
          <cell r="P95"/>
          <cell r="Q95"/>
          <cell r="R95">
            <v>0</v>
          </cell>
          <cell r="S95">
            <v>0</v>
          </cell>
          <cell r="T95"/>
          <cell r="U95">
            <v>0</v>
          </cell>
          <cell r="V95"/>
          <cell r="W95"/>
          <cell r="X95"/>
          <cell r="Y95">
            <v>0</v>
          </cell>
          <cell r="Z95">
            <v>0</v>
          </cell>
          <cell r="AA95">
            <v>0</v>
          </cell>
          <cell r="AB95"/>
        </row>
        <row r="96">
          <cell r="G96"/>
          <cell r="H96"/>
          <cell r="I96"/>
          <cell r="J96"/>
          <cell r="K96"/>
          <cell r="L96"/>
          <cell r="M96"/>
          <cell r="N96"/>
          <cell r="O96"/>
          <cell r="P96"/>
          <cell r="Q96"/>
          <cell r="R96">
            <v>0</v>
          </cell>
          <cell r="S96">
            <v>0</v>
          </cell>
          <cell r="T96"/>
          <cell r="U96">
            <v>0</v>
          </cell>
          <cell r="V96"/>
          <cell r="W96"/>
          <cell r="X96"/>
          <cell r="Y96">
            <v>0</v>
          </cell>
          <cell r="Z96">
            <v>0</v>
          </cell>
          <cell r="AA96">
            <v>0</v>
          </cell>
          <cell r="AB96"/>
        </row>
        <row r="97">
          <cell r="G97"/>
          <cell r="H97"/>
          <cell r="I97"/>
          <cell r="J97"/>
          <cell r="K97"/>
          <cell r="L97"/>
          <cell r="M97"/>
          <cell r="N97"/>
          <cell r="O97"/>
          <cell r="P97"/>
          <cell r="Q97"/>
          <cell r="R97">
            <v>0</v>
          </cell>
          <cell r="S97">
            <v>0</v>
          </cell>
          <cell r="T97"/>
          <cell r="U97">
            <v>0</v>
          </cell>
          <cell r="V97"/>
          <cell r="W97"/>
          <cell r="X97"/>
          <cell r="Y97">
            <v>0</v>
          </cell>
          <cell r="Z97">
            <v>0</v>
          </cell>
          <cell r="AA97">
            <v>0</v>
          </cell>
          <cell r="AB97"/>
        </row>
        <row r="98">
          <cell r="G98"/>
          <cell r="H98"/>
          <cell r="I98"/>
          <cell r="J98"/>
          <cell r="K98"/>
          <cell r="L98"/>
          <cell r="M98"/>
          <cell r="N98"/>
          <cell r="O98"/>
          <cell r="P98"/>
          <cell r="Q98"/>
          <cell r="R98">
            <v>0</v>
          </cell>
          <cell r="S98">
            <v>0</v>
          </cell>
          <cell r="T98"/>
          <cell r="U98">
            <v>0</v>
          </cell>
          <cell r="V98"/>
          <cell r="W98"/>
          <cell r="X98"/>
          <cell r="Y98">
            <v>0</v>
          </cell>
          <cell r="Z98">
            <v>0</v>
          </cell>
          <cell r="AA98">
            <v>0</v>
          </cell>
          <cell r="AB98"/>
        </row>
        <row r="99">
          <cell r="G99"/>
          <cell r="H99"/>
          <cell r="I99"/>
          <cell r="J99"/>
          <cell r="K99"/>
          <cell r="L99"/>
          <cell r="M99"/>
          <cell r="N99"/>
          <cell r="O99"/>
          <cell r="P99"/>
          <cell r="Q99"/>
          <cell r="R99">
            <v>0</v>
          </cell>
          <cell r="S99">
            <v>0</v>
          </cell>
          <cell r="T99"/>
          <cell r="U99">
            <v>0</v>
          </cell>
          <cell r="V99"/>
          <cell r="W99"/>
          <cell r="X99"/>
          <cell r="Y99">
            <v>0</v>
          </cell>
          <cell r="Z99">
            <v>0</v>
          </cell>
          <cell r="AA99">
            <v>0</v>
          </cell>
          <cell r="AB99"/>
        </row>
        <row r="100">
          <cell r="G100"/>
          <cell r="H100"/>
          <cell r="I100"/>
          <cell r="J100"/>
          <cell r="K100"/>
          <cell r="L100"/>
          <cell r="M100"/>
          <cell r="N100"/>
          <cell r="O100"/>
          <cell r="P100"/>
          <cell r="Q100"/>
          <cell r="R100">
            <v>0</v>
          </cell>
          <cell r="S100">
            <v>0</v>
          </cell>
          <cell r="T100"/>
          <cell r="U100">
            <v>0</v>
          </cell>
          <cell r="V100"/>
          <cell r="W100"/>
          <cell r="X100"/>
          <cell r="Y100">
            <v>0</v>
          </cell>
          <cell r="Z100">
            <v>0</v>
          </cell>
          <cell r="AA100">
            <v>0</v>
          </cell>
          <cell r="AB100"/>
        </row>
        <row r="101">
          <cell r="G101"/>
          <cell r="H101"/>
          <cell r="I101"/>
          <cell r="J101"/>
          <cell r="K101"/>
          <cell r="L101"/>
          <cell r="M101"/>
          <cell r="N101"/>
          <cell r="O101"/>
          <cell r="P101"/>
          <cell r="Q101"/>
          <cell r="R101">
            <v>0</v>
          </cell>
          <cell r="S101">
            <v>0</v>
          </cell>
          <cell r="T101"/>
          <cell r="U101">
            <v>0</v>
          </cell>
          <cell r="V101"/>
          <cell r="W101"/>
          <cell r="X101"/>
          <cell r="Y101">
            <v>0</v>
          </cell>
          <cell r="Z101">
            <v>0</v>
          </cell>
          <cell r="AA101">
            <v>0</v>
          </cell>
        </row>
        <row r="102">
          <cell r="G102"/>
          <cell r="H102"/>
          <cell r="I102"/>
          <cell r="J102"/>
          <cell r="K102"/>
          <cell r="L102"/>
          <cell r="M102">
            <v>0</v>
          </cell>
          <cell r="N102"/>
          <cell r="O102">
            <v>0</v>
          </cell>
          <cell r="P102">
            <v>0</v>
          </cell>
          <cell r="Q102">
            <v>0</v>
          </cell>
          <cell r="R102">
            <v>0</v>
          </cell>
          <cell r="S102">
            <v>0</v>
          </cell>
          <cell r="T102">
            <v>0</v>
          </cell>
          <cell r="U102">
            <v>0</v>
          </cell>
          <cell r="V102">
            <v>4200000000</v>
          </cell>
          <cell r="W102">
            <v>0</v>
          </cell>
          <cell r="X102">
            <v>0</v>
          </cell>
          <cell r="Y102">
            <v>0</v>
          </cell>
          <cell r="Z102">
            <v>0</v>
          </cell>
          <cell r="AA102">
            <v>0</v>
          </cell>
          <cell r="AB102"/>
        </row>
        <row r="103">
          <cell r="G103">
            <v>25920202</v>
          </cell>
          <cell r="H103" t="str">
            <v>CONSORCIO INTERVENTORA INTEGRAL</v>
          </cell>
          <cell r="I103">
            <v>901376852</v>
          </cell>
          <cell r="J103"/>
          <cell r="K103"/>
          <cell r="L103" t="str">
            <v>004-22</v>
          </cell>
          <cell r="M103"/>
          <cell r="N103" t="str">
            <v>004-22</v>
          </cell>
          <cell r="O103"/>
          <cell r="P103"/>
          <cell r="Q103"/>
          <cell r="R103">
            <v>0</v>
          </cell>
          <cell r="S103">
            <v>48160839.5</v>
          </cell>
          <cell r="T103"/>
          <cell r="U103">
            <v>48160839.5</v>
          </cell>
          <cell r="V103">
            <v>1071265142.5</v>
          </cell>
          <cell r="W103">
            <v>0</v>
          </cell>
          <cell r="X103"/>
          <cell r="Y103">
            <v>0</v>
          </cell>
          <cell r="Z103">
            <v>0</v>
          </cell>
          <cell r="AA103">
            <v>48160839.5</v>
          </cell>
          <cell r="AB103"/>
        </row>
        <row r="104">
          <cell r="G104">
            <v>1002022</v>
          </cell>
          <cell r="H104" t="str">
            <v>Claudia Marcela Ladino Herrera,</v>
          </cell>
          <cell r="I104">
            <v>52875023</v>
          </cell>
          <cell r="J104">
            <v>44866</v>
          </cell>
          <cell r="K104">
            <v>44926</v>
          </cell>
          <cell r="L104" t="str">
            <v>007-22</v>
          </cell>
          <cell r="M104">
            <v>91907889</v>
          </cell>
          <cell r="N104" t="str">
            <v>022-22</v>
          </cell>
          <cell r="O104">
            <v>90363218</v>
          </cell>
          <cell r="P104">
            <v>90363218</v>
          </cell>
          <cell r="Q104"/>
          <cell r="R104">
            <v>90363218</v>
          </cell>
          <cell r="S104">
            <v>0</v>
          </cell>
          <cell r="T104"/>
          <cell r="U104">
            <v>90363218</v>
          </cell>
          <cell r="V104"/>
          <cell r="W104">
            <v>5406346</v>
          </cell>
          <cell r="X104"/>
          <cell r="Y104">
            <v>84956872</v>
          </cell>
          <cell r="Z104">
            <v>0</v>
          </cell>
          <cell r="AA104">
            <v>84956872</v>
          </cell>
          <cell r="AB104"/>
        </row>
        <row r="105">
          <cell r="G105">
            <v>3472022</v>
          </cell>
          <cell r="H105" t="str">
            <v>JUAN CARLOS CALDERON FERNANDEZ</v>
          </cell>
          <cell r="I105">
            <v>3180546</v>
          </cell>
          <cell r="J105">
            <v>44580</v>
          </cell>
          <cell r="K105">
            <v>44824</v>
          </cell>
          <cell r="L105" t="str">
            <v>046-22</v>
          </cell>
          <cell r="M105">
            <v>74687360</v>
          </cell>
          <cell r="N105" t="str">
            <v>047-22</v>
          </cell>
          <cell r="O105">
            <v>74687360</v>
          </cell>
          <cell r="P105">
            <v>74687360</v>
          </cell>
          <cell r="Q105"/>
          <cell r="R105">
            <v>74687360</v>
          </cell>
          <cell r="S105">
            <v>0</v>
          </cell>
          <cell r="T105"/>
          <cell r="U105">
            <v>74687360</v>
          </cell>
          <cell r="V105"/>
          <cell r="W105">
            <v>13381485</v>
          </cell>
          <cell r="X105"/>
          <cell r="Y105">
            <v>61305875</v>
          </cell>
          <cell r="Z105">
            <v>0</v>
          </cell>
          <cell r="AA105">
            <v>61305875</v>
          </cell>
          <cell r="AB105"/>
        </row>
        <row r="106">
          <cell r="G106">
            <v>4142022</v>
          </cell>
          <cell r="H106" t="str">
            <v>LEIDY YURANY ALEY PAYA</v>
          </cell>
          <cell r="I106" t="str">
            <v>34321916</v>
          </cell>
          <cell r="J106">
            <v>44586</v>
          </cell>
          <cell r="K106">
            <v>44829</v>
          </cell>
          <cell r="L106" t="str">
            <v>038-22</v>
          </cell>
          <cell r="M106">
            <v>44133440</v>
          </cell>
          <cell r="N106" t="str">
            <v>074-22</v>
          </cell>
          <cell r="O106">
            <v>44133440</v>
          </cell>
          <cell r="P106">
            <v>44133440</v>
          </cell>
          <cell r="Q106"/>
          <cell r="R106">
            <v>44133440</v>
          </cell>
          <cell r="S106">
            <v>0</v>
          </cell>
          <cell r="T106"/>
          <cell r="U106">
            <v>44133440</v>
          </cell>
          <cell r="V106"/>
          <cell r="W106">
            <v>6803905</v>
          </cell>
          <cell r="X106"/>
          <cell r="Y106">
            <v>37329535</v>
          </cell>
          <cell r="Z106">
            <v>0</v>
          </cell>
          <cell r="AA106">
            <v>37329535</v>
          </cell>
          <cell r="AB106"/>
        </row>
        <row r="107">
          <cell r="G107">
            <v>4772022</v>
          </cell>
          <cell r="H107" t="str">
            <v>DANIELA MARÍA ESCOBAR BORRAEZ</v>
          </cell>
          <cell r="I107" t="str">
            <v>1020731571</v>
          </cell>
          <cell r="J107">
            <v>44592</v>
          </cell>
          <cell r="K107">
            <v>44925</v>
          </cell>
          <cell r="L107" t="str">
            <v>095-22</v>
          </cell>
          <cell r="M107">
            <v>37400000</v>
          </cell>
          <cell r="N107" t="str">
            <v>093-22</v>
          </cell>
          <cell r="O107">
            <v>37400000</v>
          </cell>
          <cell r="P107">
            <v>37400000</v>
          </cell>
          <cell r="Q107"/>
          <cell r="R107">
            <v>37400000</v>
          </cell>
          <cell r="S107">
            <v>0</v>
          </cell>
          <cell r="T107"/>
          <cell r="U107">
            <v>37400000</v>
          </cell>
          <cell r="V107"/>
          <cell r="W107">
            <v>113333</v>
          </cell>
          <cell r="X107"/>
          <cell r="Y107">
            <v>37286667</v>
          </cell>
          <cell r="Z107">
            <v>0</v>
          </cell>
          <cell r="AA107">
            <v>37286667</v>
          </cell>
          <cell r="AB107"/>
        </row>
        <row r="108">
          <cell r="G108" t="str">
            <v>5182022</v>
          </cell>
          <cell r="H108" t="str">
            <v>DAVID ANCINES PINEDA</v>
          </cell>
          <cell r="I108" t="str">
            <v>1026256008</v>
          </cell>
          <cell r="J108"/>
          <cell r="K108"/>
          <cell r="L108" t="str">
            <v>105-22</v>
          </cell>
          <cell r="M108"/>
          <cell r="N108" t="str">
            <v>104-22</v>
          </cell>
          <cell r="O108"/>
          <cell r="P108">
            <v>33990000</v>
          </cell>
          <cell r="Q108"/>
          <cell r="R108">
            <v>33990000</v>
          </cell>
          <cell r="S108">
            <v>0</v>
          </cell>
          <cell r="T108"/>
          <cell r="U108">
            <v>33990000</v>
          </cell>
          <cell r="V108"/>
          <cell r="W108"/>
          <cell r="X108"/>
          <cell r="Y108">
            <v>33990000</v>
          </cell>
          <cell r="Z108">
            <v>0</v>
          </cell>
          <cell r="AA108">
            <v>33990000</v>
          </cell>
          <cell r="AB108"/>
        </row>
        <row r="109">
          <cell r="G109"/>
          <cell r="H109"/>
          <cell r="I109"/>
          <cell r="J109"/>
          <cell r="K109"/>
          <cell r="L109"/>
          <cell r="M109"/>
          <cell r="N109"/>
          <cell r="O109"/>
          <cell r="P109"/>
          <cell r="Q109"/>
          <cell r="R109">
            <v>0</v>
          </cell>
          <cell r="S109">
            <v>0</v>
          </cell>
          <cell r="T109"/>
          <cell r="U109">
            <v>0</v>
          </cell>
          <cell r="V109"/>
          <cell r="W109"/>
          <cell r="X109"/>
          <cell r="Y109">
            <v>0</v>
          </cell>
          <cell r="Z109">
            <v>0</v>
          </cell>
          <cell r="AA109">
            <v>0</v>
          </cell>
          <cell r="AB109"/>
        </row>
        <row r="110">
          <cell r="G110"/>
          <cell r="H110"/>
          <cell r="I110"/>
          <cell r="J110"/>
          <cell r="K110"/>
          <cell r="L110"/>
          <cell r="M110"/>
          <cell r="N110"/>
          <cell r="O110"/>
          <cell r="P110"/>
          <cell r="Q110"/>
          <cell r="R110">
            <v>0</v>
          </cell>
          <cell r="S110">
            <v>0</v>
          </cell>
          <cell r="T110"/>
          <cell r="U110">
            <v>0</v>
          </cell>
          <cell r="V110"/>
          <cell r="W110"/>
          <cell r="X110"/>
          <cell r="Y110">
            <v>0</v>
          </cell>
          <cell r="Z110">
            <v>0</v>
          </cell>
          <cell r="AA110">
            <v>0</v>
          </cell>
          <cell r="AB110"/>
        </row>
        <row r="111">
          <cell r="G111"/>
          <cell r="H111"/>
          <cell r="I111"/>
          <cell r="J111"/>
          <cell r="K111"/>
          <cell r="L111"/>
          <cell r="M111"/>
          <cell r="N111"/>
          <cell r="O111"/>
          <cell r="P111"/>
          <cell r="Q111"/>
          <cell r="R111">
            <v>0</v>
          </cell>
          <cell r="S111">
            <v>0</v>
          </cell>
          <cell r="T111"/>
          <cell r="U111">
            <v>0</v>
          </cell>
          <cell r="V111"/>
          <cell r="W111"/>
          <cell r="X111"/>
          <cell r="Y111">
            <v>0</v>
          </cell>
          <cell r="Z111">
            <v>0</v>
          </cell>
          <cell r="AA111">
            <v>0</v>
          </cell>
          <cell r="AB111"/>
        </row>
        <row r="112">
          <cell r="G112"/>
          <cell r="H112"/>
          <cell r="I112"/>
          <cell r="J112"/>
          <cell r="K112"/>
          <cell r="L112"/>
          <cell r="M112"/>
          <cell r="N112"/>
          <cell r="O112"/>
          <cell r="P112"/>
          <cell r="Q112"/>
          <cell r="R112">
            <v>0</v>
          </cell>
          <cell r="S112">
            <v>0</v>
          </cell>
          <cell r="T112"/>
          <cell r="U112">
            <v>0</v>
          </cell>
          <cell r="V112"/>
          <cell r="W112"/>
          <cell r="X112"/>
          <cell r="Y112">
            <v>0</v>
          </cell>
          <cell r="Z112">
            <v>0</v>
          </cell>
          <cell r="AA112">
            <v>0</v>
          </cell>
          <cell r="AB112"/>
        </row>
        <row r="113">
          <cell r="G113"/>
          <cell r="H113"/>
          <cell r="I113"/>
          <cell r="J113"/>
          <cell r="K113"/>
          <cell r="L113"/>
          <cell r="M113"/>
          <cell r="N113"/>
          <cell r="O113"/>
          <cell r="P113"/>
          <cell r="Q113"/>
          <cell r="R113">
            <v>0</v>
          </cell>
          <cell r="S113">
            <v>0</v>
          </cell>
          <cell r="T113"/>
          <cell r="U113">
            <v>0</v>
          </cell>
          <cell r="V113"/>
          <cell r="W113"/>
          <cell r="X113"/>
          <cell r="Y113">
            <v>0</v>
          </cell>
          <cell r="Z113">
            <v>0</v>
          </cell>
          <cell r="AA113">
            <v>0</v>
          </cell>
          <cell r="AB113"/>
        </row>
        <row r="114">
          <cell r="G114"/>
          <cell r="H114"/>
          <cell r="I114"/>
          <cell r="J114"/>
          <cell r="K114"/>
          <cell r="L114"/>
          <cell r="M114">
            <v>248128689</v>
          </cell>
          <cell r="N114"/>
          <cell r="O114">
            <v>246584018</v>
          </cell>
          <cell r="P114">
            <v>280574018</v>
          </cell>
          <cell r="Q114">
            <v>0</v>
          </cell>
          <cell r="R114">
            <v>280574018</v>
          </cell>
          <cell r="S114">
            <v>48160839.5</v>
          </cell>
          <cell r="T114">
            <v>0</v>
          </cell>
          <cell r="U114">
            <v>328734857.5</v>
          </cell>
          <cell r="V114">
            <v>1071265142.5</v>
          </cell>
          <cell r="W114">
            <v>25705069</v>
          </cell>
          <cell r="X114">
            <v>0</v>
          </cell>
          <cell r="Y114">
            <v>254868949</v>
          </cell>
          <cell r="Z114">
            <v>0</v>
          </cell>
          <cell r="AA114">
            <v>303029788.5</v>
          </cell>
          <cell r="AB114"/>
        </row>
        <row r="115">
          <cell r="G115"/>
          <cell r="H115"/>
          <cell r="I115"/>
          <cell r="J115"/>
          <cell r="K115"/>
          <cell r="L115"/>
          <cell r="M115"/>
          <cell r="N115"/>
          <cell r="O115"/>
          <cell r="P115"/>
          <cell r="Q115"/>
          <cell r="R115">
            <v>0</v>
          </cell>
          <cell r="S115">
            <v>0</v>
          </cell>
          <cell r="T115"/>
          <cell r="U115">
            <v>0</v>
          </cell>
          <cell r="V115">
            <v>3824705845</v>
          </cell>
          <cell r="W115"/>
          <cell r="X115"/>
          <cell r="Y115">
            <v>0</v>
          </cell>
          <cell r="Z115">
            <v>0</v>
          </cell>
          <cell r="AA115">
            <v>0</v>
          </cell>
          <cell r="AB115"/>
        </row>
        <row r="116">
          <cell r="G116"/>
          <cell r="H116"/>
          <cell r="I116"/>
          <cell r="J116"/>
          <cell r="K116"/>
          <cell r="L116"/>
          <cell r="M116"/>
          <cell r="N116"/>
          <cell r="O116"/>
          <cell r="P116"/>
          <cell r="Q116"/>
          <cell r="R116">
            <v>0</v>
          </cell>
          <cell r="S116">
            <v>0</v>
          </cell>
          <cell r="T116"/>
          <cell r="U116">
            <v>0</v>
          </cell>
          <cell r="V116"/>
          <cell r="W116"/>
          <cell r="X116"/>
          <cell r="Y116">
            <v>0</v>
          </cell>
          <cell r="Z116">
            <v>0</v>
          </cell>
          <cell r="AA116">
            <v>0</v>
          </cell>
          <cell r="AB116"/>
        </row>
        <row r="117">
          <cell r="G117"/>
          <cell r="H117"/>
          <cell r="I117"/>
          <cell r="J117"/>
          <cell r="K117"/>
          <cell r="L117"/>
          <cell r="M117"/>
          <cell r="N117"/>
          <cell r="O117"/>
          <cell r="P117"/>
          <cell r="Q117"/>
          <cell r="R117">
            <v>0</v>
          </cell>
          <cell r="S117">
            <v>0</v>
          </cell>
          <cell r="T117"/>
          <cell r="U117">
            <v>0</v>
          </cell>
          <cell r="V117"/>
          <cell r="W117"/>
          <cell r="X117"/>
          <cell r="Y117">
            <v>0</v>
          </cell>
          <cell r="Z117">
            <v>0</v>
          </cell>
          <cell r="AA117">
            <v>0</v>
          </cell>
          <cell r="AB117"/>
        </row>
        <row r="118">
          <cell r="G118"/>
          <cell r="H118"/>
          <cell r="I118"/>
          <cell r="J118"/>
          <cell r="K118"/>
          <cell r="L118"/>
          <cell r="M118"/>
          <cell r="N118"/>
          <cell r="O118"/>
          <cell r="P118"/>
          <cell r="Q118"/>
          <cell r="R118">
            <v>0</v>
          </cell>
          <cell r="S118">
            <v>0</v>
          </cell>
          <cell r="T118"/>
          <cell r="U118">
            <v>0</v>
          </cell>
          <cell r="V118"/>
          <cell r="W118"/>
          <cell r="X118"/>
          <cell r="Y118">
            <v>0</v>
          </cell>
          <cell r="Z118">
            <v>0</v>
          </cell>
          <cell r="AA118">
            <v>0</v>
          </cell>
          <cell r="AB118"/>
        </row>
        <row r="119">
          <cell r="G119"/>
          <cell r="H119"/>
          <cell r="I119"/>
          <cell r="J119"/>
          <cell r="K119"/>
          <cell r="L119"/>
          <cell r="M119"/>
          <cell r="N119"/>
          <cell r="O119"/>
          <cell r="P119"/>
          <cell r="Q119"/>
          <cell r="R119">
            <v>0</v>
          </cell>
          <cell r="S119">
            <v>0</v>
          </cell>
          <cell r="T119"/>
          <cell r="U119">
            <v>0</v>
          </cell>
          <cell r="V119"/>
          <cell r="W119"/>
          <cell r="X119"/>
          <cell r="Y119">
            <v>0</v>
          </cell>
          <cell r="Z119">
            <v>0</v>
          </cell>
          <cell r="AA119">
            <v>0</v>
          </cell>
          <cell r="AB119"/>
        </row>
        <row r="120">
          <cell r="G120"/>
          <cell r="H120"/>
          <cell r="I120"/>
          <cell r="J120"/>
          <cell r="K120"/>
          <cell r="L120"/>
          <cell r="M120"/>
          <cell r="N120"/>
          <cell r="O120"/>
          <cell r="P120"/>
          <cell r="Q120"/>
          <cell r="R120">
            <v>0</v>
          </cell>
          <cell r="S120">
            <v>0</v>
          </cell>
          <cell r="T120"/>
          <cell r="U120">
            <v>0</v>
          </cell>
          <cell r="V120"/>
          <cell r="W120"/>
          <cell r="X120"/>
          <cell r="Y120">
            <v>0</v>
          </cell>
          <cell r="Z120">
            <v>0</v>
          </cell>
          <cell r="AA120">
            <v>0</v>
          </cell>
          <cell r="AB120"/>
        </row>
        <row r="121">
          <cell r="G121"/>
          <cell r="H121"/>
          <cell r="I121"/>
          <cell r="J121"/>
          <cell r="K121"/>
          <cell r="L121"/>
          <cell r="M121">
            <v>0</v>
          </cell>
          <cell r="N121"/>
          <cell r="O121">
            <v>0</v>
          </cell>
          <cell r="P121">
            <v>0</v>
          </cell>
          <cell r="Q121">
            <v>0</v>
          </cell>
          <cell r="R121">
            <v>0</v>
          </cell>
          <cell r="S121">
            <v>0</v>
          </cell>
          <cell r="T121">
            <v>0</v>
          </cell>
          <cell r="U121">
            <v>0</v>
          </cell>
          <cell r="V121">
            <v>3824705845</v>
          </cell>
          <cell r="W121">
            <v>0</v>
          </cell>
          <cell r="X121">
            <v>0</v>
          </cell>
          <cell r="Y121">
            <v>0</v>
          </cell>
          <cell r="Z121">
            <v>0</v>
          </cell>
          <cell r="AA121">
            <v>0</v>
          </cell>
          <cell r="AB121"/>
        </row>
        <row r="122">
          <cell r="G122">
            <v>3042022</v>
          </cell>
          <cell r="H122" t="str">
            <v>Will Robinson Lopera Cardona</v>
          </cell>
          <cell r="I122">
            <v>9867725</v>
          </cell>
          <cell r="J122">
            <v>44592</v>
          </cell>
          <cell r="K122">
            <v>44759</v>
          </cell>
          <cell r="L122" t="str">
            <v>051-22</v>
          </cell>
          <cell r="M122">
            <v>52960128</v>
          </cell>
          <cell r="N122" t="str">
            <v>045-22</v>
          </cell>
          <cell r="O122">
            <v>52960128</v>
          </cell>
          <cell r="P122">
            <v>52960128</v>
          </cell>
          <cell r="Q122"/>
          <cell r="R122">
            <v>52960128</v>
          </cell>
          <cell r="S122">
            <v>0</v>
          </cell>
          <cell r="T122"/>
          <cell r="U122">
            <v>52960128</v>
          </cell>
          <cell r="V122">
            <v>335459646</v>
          </cell>
          <cell r="W122">
            <v>9120910</v>
          </cell>
          <cell r="X122"/>
          <cell r="Y122">
            <v>43839218</v>
          </cell>
          <cell r="Z122">
            <v>0</v>
          </cell>
          <cell r="AA122">
            <v>43839218</v>
          </cell>
          <cell r="AB122"/>
        </row>
        <row r="123">
          <cell r="G123">
            <v>4312022</v>
          </cell>
          <cell r="H123" t="str">
            <v>MARIA MARLENY ARBOLEDA URREGO</v>
          </cell>
          <cell r="I123">
            <v>38262488</v>
          </cell>
          <cell r="J123">
            <v>44587</v>
          </cell>
          <cell r="K123">
            <v>44926</v>
          </cell>
          <cell r="L123" t="str">
            <v>055-22</v>
          </cell>
          <cell r="M123">
            <v>104184500</v>
          </cell>
          <cell r="N123" t="str">
            <v>079-22</v>
          </cell>
          <cell r="O123">
            <v>98347833</v>
          </cell>
          <cell r="P123">
            <v>98347833</v>
          </cell>
          <cell r="Q123"/>
          <cell r="R123">
            <v>98347833</v>
          </cell>
          <cell r="S123">
            <v>0</v>
          </cell>
          <cell r="T123"/>
          <cell r="U123">
            <v>98347833</v>
          </cell>
          <cell r="V123"/>
          <cell r="W123">
            <v>10506000</v>
          </cell>
          <cell r="X123"/>
          <cell r="Y123">
            <v>87841833</v>
          </cell>
          <cell r="Z123">
            <v>0</v>
          </cell>
          <cell r="AA123">
            <v>87841833</v>
          </cell>
          <cell r="AB123"/>
        </row>
        <row r="124">
          <cell r="G124">
            <v>3032022</v>
          </cell>
          <cell r="H124" t="str">
            <v>WILLIAM ALFREDO SALEME MARTINEZ</v>
          </cell>
          <cell r="I124">
            <v>19427573</v>
          </cell>
          <cell r="J124">
            <v>44580</v>
          </cell>
          <cell r="K124">
            <v>44820</v>
          </cell>
          <cell r="L124" t="str">
            <v>042-22</v>
          </cell>
          <cell r="M124">
            <v>59410400</v>
          </cell>
          <cell r="N124" t="str">
            <v>049-22</v>
          </cell>
          <cell r="O124">
            <v>59410400</v>
          </cell>
          <cell r="P124">
            <v>59410400</v>
          </cell>
          <cell r="Q124"/>
          <cell r="R124">
            <v>59410400</v>
          </cell>
          <cell r="S124">
            <v>0</v>
          </cell>
          <cell r="T124"/>
          <cell r="U124">
            <v>59410400</v>
          </cell>
          <cell r="V124"/>
          <cell r="W124">
            <v>10644363</v>
          </cell>
          <cell r="X124"/>
          <cell r="Y124">
            <v>48766037</v>
          </cell>
          <cell r="Z124">
            <v>0</v>
          </cell>
          <cell r="AA124">
            <v>48766037</v>
          </cell>
          <cell r="AB124"/>
        </row>
        <row r="125">
          <cell r="G125">
            <v>3942022</v>
          </cell>
          <cell r="H125" t="str">
            <v>WALTER HERNANDEZ MEJIA</v>
          </cell>
          <cell r="I125">
            <v>19154021</v>
          </cell>
          <cell r="J125">
            <v>44585</v>
          </cell>
          <cell r="K125">
            <v>44926</v>
          </cell>
          <cell r="L125" t="str">
            <v>067-22</v>
          </cell>
          <cell r="M125">
            <v>88130184</v>
          </cell>
          <cell r="N125" t="str">
            <v>071-22</v>
          </cell>
          <cell r="O125">
            <v>88130184</v>
          </cell>
          <cell r="P125">
            <v>76130184</v>
          </cell>
          <cell r="Q125">
            <v>12000000</v>
          </cell>
          <cell r="R125">
            <v>88130184</v>
          </cell>
          <cell r="S125">
            <v>0</v>
          </cell>
          <cell r="T125"/>
          <cell r="U125">
            <v>88130184</v>
          </cell>
          <cell r="V125"/>
          <cell r="W125">
            <v>8385353</v>
          </cell>
          <cell r="X125"/>
          <cell r="Y125">
            <v>67744831</v>
          </cell>
          <cell r="Z125">
            <v>12000000</v>
          </cell>
          <cell r="AA125">
            <v>79744831</v>
          </cell>
          <cell r="AB125"/>
        </row>
        <row r="126">
          <cell r="G126">
            <v>3522022</v>
          </cell>
          <cell r="H126" t="str">
            <v>Viviana Marcela Pedraza Serrano</v>
          </cell>
          <cell r="I126" t="str">
            <v>1136881555</v>
          </cell>
          <cell r="J126">
            <v>44582</v>
          </cell>
          <cell r="K126">
            <v>44824</v>
          </cell>
          <cell r="L126" t="str">
            <v>069-22</v>
          </cell>
          <cell r="M126">
            <v>46679600</v>
          </cell>
          <cell r="N126" t="str">
            <v>057-22</v>
          </cell>
          <cell r="O126">
            <v>46679600</v>
          </cell>
          <cell r="P126">
            <v>46679600</v>
          </cell>
          <cell r="Q126"/>
          <cell r="R126">
            <v>46679600</v>
          </cell>
          <cell r="S126">
            <v>0</v>
          </cell>
          <cell r="T126"/>
          <cell r="U126">
            <v>46679600</v>
          </cell>
          <cell r="V126"/>
          <cell r="W126">
            <v>7974431</v>
          </cell>
          <cell r="X126"/>
          <cell r="Y126">
            <v>38705169</v>
          </cell>
          <cell r="Z126">
            <v>0</v>
          </cell>
          <cell r="AA126">
            <v>38705169</v>
          </cell>
          <cell r="AB126"/>
        </row>
        <row r="127">
          <cell r="G127">
            <v>3702022</v>
          </cell>
          <cell r="H127" t="str">
            <v>JESÚS ANTONIO MORENO CUARAN</v>
          </cell>
          <cell r="I127" t="str">
            <v>18123215</v>
          </cell>
          <cell r="J127">
            <v>44582</v>
          </cell>
          <cell r="K127">
            <v>44926</v>
          </cell>
          <cell r="L127" t="str">
            <v>064-22</v>
          </cell>
          <cell r="M127">
            <v>120459000</v>
          </cell>
          <cell r="N127" t="str">
            <v>066-22</v>
          </cell>
          <cell r="O127">
            <v>117678000</v>
          </cell>
          <cell r="P127">
            <v>105678000</v>
          </cell>
          <cell r="Q127">
            <v>12000000</v>
          </cell>
          <cell r="R127">
            <v>117678000</v>
          </cell>
          <cell r="S127">
            <v>0</v>
          </cell>
          <cell r="T127"/>
          <cell r="U127">
            <v>117678000</v>
          </cell>
          <cell r="V127"/>
          <cell r="W127">
            <v>12669000</v>
          </cell>
          <cell r="X127"/>
          <cell r="Y127">
            <v>93009000</v>
          </cell>
          <cell r="Z127">
            <v>12000000</v>
          </cell>
          <cell r="AA127">
            <v>105009000</v>
          </cell>
          <cell r="AB127"/>
        </row>
        <row r="128">
          <cell r="G128">
            <v>3672022</v>
          </cell>
          <cell r="H128" t="str">
            <v>NESTOR JAVIER ORTIZ ORTIZ</v>
          </cell>
          <cell r="I128" t="str">
            <v>80371052</v>
          </cell>
          <cell r="J128">
            <v>44585</v>
          </cell>
          <cell r="K128">
            <v>44765</v>
          </cell>
          <cell r="L128" t="str">
            <v>074-22</v>
          </cell>
          <cell r="M128">
            <v>159158660</v>
          </cell>
          <cell r="N128" t="str">
            <v>069-22</v>
          </cell>
          <cell r="O128">
            <v>58340112</v>
          </cell>
          <cell r="P128">
            <v>46340112</v>
          </cell>
          <cell r="Q128">
            <v>12000000</v>
          </cell>
          <cell r="R128">
            <v>58340112</v>
          </cell>
          <cell r="S128">
            <v>0</v>
          </cell>
          <cell r="T128"/>
          <cell r="U128">
            <v>58340112</v>
          </cell>
          <cell r="V128"/>
          <cell r="W128">
            <v>9782912</v>
          </cell>
          <cell r="X128"/>
          <cell r="Y128">
            <v>36557200</v>
          </cell>
          <cell r="Z128">
            <v>12000000</v>
          </cell>
          <cell r="AA128">
            <v>48557200</v>
          </cell>
          <cell r="AB128"/>
        </row>
        <row r="129">
          <cell r="G129">
            <v>4442022</v>
          </cell>
          <cell r="H129" t="str">
            <v>Maria Magdalena Perlaza Arredondo</v>
          </cell>
          <cell r="I129" t="str">
            <v>30399696</v>
          </cell>
          <cell r="J129">
            <v>44587</v>
          </cell>
          <cell r="K129">
            <v>44737</v>
          </cell>
          <cell r="L129" t="str">
            <v>088-22</v>
          </cell>
          <cell r="M129">
            <v>185350000</v>
          </cell>
          <cell r="N129" t="str">
            <v>078-22</v>
          </cell>
          <cell r="O129">
            <v>42900000</v>
          </cell>
          <cell r="P129">
            <v>30900000</v>
          </cell>
          <cell r="Q129">
            <v>12000000</v>
          </cell>
          <cell r="R129">
            <v>42900000</v>
          </cell>
          <cell r="S129">
            <v>0</v>
          </cell>
          <cell r="T129"/>
          <cell r="U129">
            <v>42900000</v>
          </cell>
          <cell r="V129"/>
          <cell r="W129">
            <v>6180000</v>
          </cell>
          <cell r="X129"/>
          <cell r="Y129">
            <v>24720000</v>
          </cell>
          <cell r="Z129">
            <v>12000000</v>
          </cell>
          <cell r="AA129">
            <v>36720000</v>
          </cell>
          <cell r="AB129"/>
        </row>
        <row r="130">
          <cell r="G130">
            <v>4452022</v>
          </cell>
          <cell r="H130" t="str">
            <v>Blanca Cristina Vargas Hernandez</v>
          </cell>
          <cell r="I130" t="str">
            <v>52186429</v>
          </cell>
          <cell r="J130">
            <v>44588</v>
          </cell>
          <cell r="K130">
            <v>44926</v>
          </cell>
          <cell r="L130" t="str">
            <v>088-22</v>
          </cell>
          <cell r="M130">
            <v>185350000</v>
          </cell>
          <cell r="N130" t="str">
            <v>089-22</v>
          </cell>
          <cell r="O130">
            <v>71225000</v>
          </cell>
          <cell r="P130">
            <v>59225000</v>
          </cell>
          <cell r="Q130">
            <v>12000000</v>
          </cell>
          <cell r="R130">
            <v>71225000</v>
          </cell>
          <cell r="S130">
            <v>0</v>
          </cell>
          <cell r="T130"/>
          <cell r="U130">
            <v>71225000</v>
          </cell>
          <cell r="V130"/>
          <cell r="W130">
            <v>858333</v>
          </cell>
          <cell r="X130"/>
          <cell r="Y130">
            <v>58366667</v>
          </cell>
          <cell r="Z130">
            <v>12000000</v>
          </cell>
          <cell r="AA130">
            <v>70366667</v>
          </cell>
          <cell r="AB130"/>
        </row>
        <row r="131">
          <cell r="G131" t="str">
            <v>4932022</v>
          </cell>
          <cell r="H131" t="str">
            <v>Edwin Ariel Ortiz Fernandez</v>
          </cell>
          <cell r="I131" t="str">
            <v>80503247</v>
          </cell>
          <cell r="J131"/>
          <cell r="K131"/>
          <cell r="L131" t="str">
            <v>074-22</v>
          </cell>
          <cell r="M131"/>
          <cell r="N131" t="str">
            <v>098-22</v>
          </cell>
          <cell r="O131"/>
          <cell r="P131">
            <v>86244097</v>
          </cell>
          <cell r="Q131">
            <v>12000000</v>
          </cell>
          <cell r="R131">
            <v>98244097</v>
          </cell>
          <cell r="S131">
            <v>0</v>
          </cell>
          <cell r="T131"/>
          <cell r="U131">
            <v>98244097</v>
          </cell>
          <cell r="V131"/>
          <cell r="W131"/>
          <cell r="X131"/>
          <cell r="Y131">
            <v>86244097</v>
          </cell>
          <cell r="Z131">
            <v>12000000</v>
          </cell>
          <cell r="AA131">
            <v>98244097</v>
          </cell>
          <cell r="AB131"/>
        </row>
        <row r="132">
          <cell r="G132">
            <v>4692022</v>
          </cell>
          <cell r="H132" t="str">
            <v>MARIA ISABEL BUITRAGO CAMARGO</v>
          </cell>
          <cell r="I132" t="str">
            <v>52047490</v>
          </cell>
          <cell r="J132">
            <v>44592</v>
          </cell>
          <cell r="K132">
            <v>44926</v>
          </cell>
          <cell r="L132" t="str">
            <v>088-22</v>
          </cell>
          <cell r="M132">
            <v>185350000</v>
          </cell>
          <cell r="N132" t="str">
            <v>101-22</v>
          </cell>
          <cell r="O132">
            <v>71225000</v>
          </cell>
          <cell r="P132">
            <v>59225000</v>
          </cell>
          <cell r="Q132">
            <v>12000000</v>
          </cell>
          <cell r="R132">
            <v>71225000</v>
          </cell>
          <cell r="S132">
            <v>0</v>
          </cell>
          <cell r="T132"/>
          <cell r="U132">
            <v>71225000</v>
          </cell>
          <cell r="V132"/>
          <cell r="W132">
            <v>5321667</v>
          </cell>
          <cell r="X132"/>
          <cell r="Y132">
            <v>53903333</v>
          </cell>
          <cell r="Z132">
            <v>12000000</v>
          </cell>
          <cell r="AA132">
            <v>65903333</v>
          </cell>
          <cell r="AB132"/>
        </row>
        <row r="133">
          <cell r="G133">
            <v>4882022</v>
          </cell>
          <cell r="H133" t="str">
            <v>SANTIAGO CHAVARRO MARIN</v>
          </cell>
          <cell r="I133" t="str">
            <v>1010016278</v>
          </cell>
          <cell r="J133">
            <v>44594</v>
          </cell>
          <cell r="K133">
            <v>44835</v>
          </cell>
          <cell r="L133" t="str">
            <v>087-22</v>
          </cell>
          <cell r="M133">
            <v>14400000</v>
          </cell>
          <cell r="N133" t="str">
            <v>106-22</v>
          </cell>
          <cell r="O133">
            <v>14400000</v>
          </cell>
          <cell r="P133">
            <v>14400000</v>
          </cell>
          <cell r="Q133">
            <v>0</v>
          </cell>
          <cell r="R133">
            <v>14400000</v>
          </cell>
          <cell r="S133">
            <v>0</v>
          </cell>
          <cell r="T133"/>
          <cell r="U133">
            <v>14400000</v>
          </cell>
          <cell r="V133"/>
          <cell r="W133">
            <v>1620000</v>
          </cell>
          <cell r="X133"/>
          <cell r="Y133">
            <v>12780000</v>
          </cell>
          <cell r="Z133">
            <v>0</v>
          </cell>
          <cell r="AA133">
            <v>12780000</v>
          </cell>
          <cell r="AB133"/>
        </row>
        <row r="134">
          <cell r="G134">
            <v>5052022</v>
          </cell>
          <cell r="H134" t="str">
            <v>Monica Lorena Rodriguez Medina</v>
          </cell>
          <cell r="I134">
            <v>1061685180</v>
          </cell>
          <cell r="J134">
            <v>44600</v>
          </cell>
          <cell r="K134">
            <v>44841</v>
          </cell>
          <cell r="L134" t="str">
            <v>100-22</v>
          </cell>
          <cell r="M134">
            <v>30400000</v>
          </cell>
          <cell r="N134" t="str">
            <v>111-22</v>
          </cell>
          <cell r="O134">
            <v>30400000</v>
          </cell>
          <cell r="P134">
            <v>30400000</v>
          </cell>
          <cell r="Q134"/>
          <cell r="R134">
            <v>30400000</v>
          </cell>
          <cell r="S134">
            <v>0</v>
          </cell>
          <cell r="T134"/>
          <cell r="U134">
            <v>30400000</v>
          </cell>
          <cell r="V134"/>
          <cell r="W134">
            <v>2660000</v>
          </cell>
          <cell r="X134"/>
          <cell r="Y134">
            <v>27740000</v>
          </cell>
          <cell r="Z134">
            <v>0</v>
          </cell>
          <cell r="AA134">
            <v>27740000</v>
          </cell>
          <cell r="AB134"/>
        </row>
        <row r="135">
          <cell r="G135"/>
          <cell r="H135"/>
          <cell r="I135"/>
          <cell r="J135"/>
          <cell r="K135"/>
          <cell r="L135"/>
          <cell r="M135"/>
          <cell r="N135"/>
          <cell r="O135"/>
          <cell r="P135"/>
          <cell r="Q135"/>
          <cell r="R135">
            <v>0</v>
          </cell>
          <cell r="S135">
            <v>0</v>
          </cell>
          <cell r="T135"/>
          <cell r="U135">
            <v>0</v>
          </cell>
          <cell r="V135"/>
          <cell r="W135"/>
          <cell r="X135"/>
          <cell r="Y135">
            <v>0</v>
          </cell>
          <cell r="Z135">
            <v>0</v>
          </cell>
          <cell r="AA135">
            <v>0</v>
          </cell>
          <cell r="AB135"/>
        </row>
        <row r="136">
          <cell r="G136"/>
          <cell r="H136"/>
          <cell r="I136"/>
          <cell r="J136"/>
          <cell r="K136"/>
          <cell r="L136"/>
          <cell r="M136"/>
          <cell r="N136"/>
          <cell r="O136"/>
          <cell r="P136"/>
          <cell r="Q136"/>
          <cell r="R136">
            <v>0</v>
          </cell>
          <cell r="S136">
            <v>0</v>
          </cell>
          <cell r="T136"/>
          <cell r="U136">
            <v>0</v>
          </cell>
          <cell r="V136"/>
          <cell r="W136"/>
          <cell r="X136"/>
          <cell r="Y136">
            <v>0</v>
          </cell>
          <cell r="Z136">
            <v>0</v>
          </cell>
          <cell r="AA136">
            <v>0</v>
          </cell>
          <cell r="AB136"/>
        </row>
        <row r="137">
          <cell r="G137"/>
          <cell r="H137"/>
          <cell r="I137"/>
          <cell r="J137"/>
          <cell r="K137"/>
          <cell r="L137"/>
          <cell r="M137"/>
          <cell r="N137"/>
          <cell r="O137"/>
          <cell r="P137"/>
          <cell r="Q137"/>
          <cell r="R137">
            <v>0</v>
          </cell>
          <cell r="S137">
            <v>0</v>
          </cell>
          <cell r="T137"/>
          <cell r="U137">
            <v>0</v>
          </cell>
          <cell r="V137"/>
          <cell r="W137"/>
          <cell r="X137"/>
          <cell r="Y137">
            <v>0</v>
          </cell>
          <cell r="Z137">
            <v>0</v>
          </cell>
          <cell r="AA137">
            <v>0</v>
          </cell>
          <cell r="AB137"/>
        </row>
        <row r="138">
          <cell r="G138"/>
          <cell r="H138"/>
          <cell r="I138"/>
          <cell r="J138"/>
          <cell r="K138"/>
          <cell r="L138"/>
          <cell r="M138"/>
          <cell r="N138"/>
          <cell r="O138"/>
          <cell r="P138"/>
          <cell r="Q138"/>
          <cell r="R138">
            <v>0</v>
          </cell>
          <cell r="S138">
            <v>0</v>
          </cell>
          <cell r="T138"/>
          <cell r="U138">
            <v>-87550000</v>
          </cell>
          <cell r="V138"/>
          <cell r="W138"/>
          <cell r="X138"/>
          <cell r="Y138">
            <v>0</v>
          </cell>
          <cell r="Z138">
            <v>0</v>
          </cell>
          <cell r="AA138">
            <v>-87550000</v>
          </cell>
          <cell r="AB138"/>
        </row>
        <row r="139">
          <cell r="G139"/>
          <cell r="H139"/>
          <cell r="I139"/>
          <cell r="J139"/>
          <cell r="K139"/>
          <cell r="L139"/>
          <cell r="M139"/>
          <cell r="N139"/>
          <cell r="O139"/>
          <cell r="P139"/>
          <cell r="Q139"/>
          <cell r="R139">
            <v>0</v>
          </cell>
          <cell r="S139">
            <v>0</v>
          </cell>
          <cell r="T139"/>
          <cell r="U139">
            <v>0</v>
          </cell>
          <cell r="V139"/>
          <cell r="W139"/>
          <cell r="X139"/>
          <cell r="Y139">
            <v>0</v>
          </cell>
          <cell r="Z139">
            <v>0</v>
          </cell>
          <cell r="AA139">
            <v>0</v>
          </cell>
          <cell r="AB139"/>
        </row>
        <row r="140">
          <cell r="G140"/>
          <cell r="H140"/>
          <cell r="I140"/>
          <cell r="J140"/>
          <cell r="K140"/>
          <cell r="L140"/>
          <cell r="M140"/>
          <cell r="N140"/>
          <cell r="O140"/>
          <cell r="P140"/>
          <cell r="Q140"/>
          <cell r="R140">
            <v>0</v>
          </cell>
          <cell r="S140">
            <v>0</v>
          </cell>
          <cell r="T140"/>
          <cell r="U140">
            <v>-97850000</v>
          </cell>
          <cell r="V140"/>
          <cell r="W140"/>
          <cell r="X140"/>
          <cell r="Y140">
            <v>0</v>
          </cell>
          <cell r="Z140">
            <v>0</v>
          </cell>
          <cell r="AA140">
            <v>-97850000</v>
          </cell>
          <cell r="AB140"/>
        </row>
        <row r="141">
          <cell r="G141"/>
          <cell r="H141"/>
          <cell r="I141"/>
          <cell r="J141"/>
          <cell r="K141"/>
          <cell r="L141"/>
          <cell r="M141">
            <v>1231832472</v>
          </cell>
          <cell r="N141"/>
          <cell r="O141">
            <v>751696257</v>
          </cell>
          <cell r="P141">
            <v>765940354</v>
          </cell>
          <cell r="Q141">
            <v>84000000</v>
          </cell>
          <cell r="R141">
            <v>849940354</v>
          </cell>
          <cell r="S141">
            <v>0</v>
          </cell>
          <cell r="T141">
            <v>0</v>
          </cell>
          <cell r="U141">
            <v>664540354</v>
          </cell>
          <cell r="V141">
            <v>335459646</v>
          </cell>
          <cell r="W141">
            <v>85722969</v>
          </cell>
          <cell r="X141">
            <v>0</v>
          </cell>
          <cell r="Y141">
            <v>680217385</v>
          </cell>
          <cell r="Z141">
            <v>84000000</v>
          </cell>
          <cell r="AA141">
            <v>578817385</v>
          </cell>
          <cell r="AB141"/>
        </row>
        <row r="142">
          <cell r="G142">
            <v>5302022</v>
          </cell>
          <cell r="H142" t="str">
            <v>FIDUCIARIA LA PREVISORA S.A.</v>
          </cell>
          <cell r="I142">
            <v>860525148</v>
          </cell>
          <cell r="J142"/>
          <cell r="K142"/>
          <cell r="L142" t="str">
            <v>001-22</v>
          </cell>
          <cell r="M142"/>
          <cell r="N142" t="str">
            <v>001-22</v>
          </cell>
          <cell r="O142"/>
          <cell r="P142">
            <v>2628360000</v>
          </cell>
          <cell r="Q142"/>
          <cell r="R142">
            <v>2628360000</v>
          </cell>
          <cell r="S142">
            <v>0</v>
          </cell>
          <cell r="T142"/>
          <cell r="U142">
            <v>2628360000</v>
          </cell>
          <cell r="V142">
            <v>338592436</v>
          </cell>
          <cell r="W142"/>
          <cell r="X142"/>
          <cell r="Y142">
            <v>2628360000</v>
          </cell>
          <cell r="Z142">
            <v>0</v>
          </cell>
          <cell r="AA142">
            <v>2628360000</v>
          </cell>
          <cell r="AB142"/>
        </row>
        <row r="143">
          <cell r="G143">
            <v>6062022</v>
          </cell>
          <cell r="H143" t="str">
            <v>CONSORCIO BDO FRL 2021</v>
          </cell>
          <cell r="I143">
            <v>901524978</v>
          </cell>
          <cell r="J143"/>
          <cell r="K143"/>
          <cell r="L143" t="str">
            <v>002-22</v>
          </cell>
          <cell r="M143"/>
          <cell r="N143" t="str">
            <v>002-22</v>
          </cell>
          <cell r="O143"/>
          <cell r="P143">
            <v>792000000</v>
          </cell>
          <cell r="Q143"/>
          <cell r="R143">
            <v>792000000</v>
          </cell>
          <cell r="S143">
            <v>0</v>
          </cell>
          <cell r="T143"/>
          <cell r="U143">
            <v>792000000</v>
          </cell>
          <cell r="V143"/>
          <cell r="W143"/>
          <cell r="X143"/>
          <cell r="Y143">
            <v>792000000</v>
          </cell>
          <cell r="Z143">
            <v>0</v>
          </cell>
          <cell r="AA143">
            <v>792000000</v>
          </cell>
          <cell r="AB143"/>
        </row>
        <row r="144">
          <cell r="G144">
            <v>112022</v>
          </cell>
          <cell r="H144" t="str">
            <v>HELENA PEÑA URREGO</v>
          </cell>
          <cell r="I144">
            <v>52482091</v>
          </cell>
          <cell r="J144">
            <v>44566</v>
          </cell>
          <cell r="K144">
            <v>44926</v>
          </cell>
          <cell r="L144" t="str">
            <v>014-22</v>
          </cell>
          <cell r="M144">
            <v>101150000</v>
          </cell>
          <cell r="N144" t="str">
            <v>005-22</v>
          </cell>
          <cell r="O144">
            <v>101150000</v>
          </cell>
          <cell r="P144">
            <v>101150000</v>
          </cell>
          <cell r="Q144"/>
          <cell r="R144">
            <v>101150000</v>
          </cell>
          <cell r="S144">
            <v>0</v>
          </cell>
          <cell r="T144">
            <v>87550000</v>
          </cell>
          <cell r="U144">
            <v>13600000</v>
          </cell>
          <cell r="V144"/>
          <cell r="W144">
            <v>13600000</v>
          </cell>
          <cell r="X144"/>
          <cell r="Y144">
            <v>87550000</v>
          </cell>
          <cell r="Z144">
            <v>0</v>
          </cell>
          <cell r="AA144">
            <v>0</v>
          </cell>
          <cell r="AB144"/>
        </row>
        <row r="145">
          <cell r="G145">
            <v>122022</v>
          </cell>
          <cell r="H145" t="str">
            <v>LEONARDO PLAZAS BETANCOURT</v>
          </cell>
          <cell r="I145">
            <v>80009945</v>
          </cell>
          <cell r="J145">
            <v>44566</v>
          </cell>
          <cell r="K145">
            <v>44926</v>
          </cell>
          <cell r="L145" t="str">
            <v>016-22</v>
          </cell>
          <cell r="M145">
            <v>101150000</v>
          </cell>
          <cell r="N145" t="str">
            <v>006-22</v>
          </cell>
          <cell r="O145">
            <v>101150000</v>
          </cell>
          <cell r="P145">
            <v>101150000</v>
          </cell>
          <cell r="Q145"/>
          <cell r="R145">
            <v>101150000</v>
          </cell>
          <cell r="S145">
            <v>0</v>
          </cell>
          <cell r="T145"/>
          <cell r="U145">
            <v>101150000</v>
          </cell>
          <cell r="V145"/>
          <cell r="W145">
            <v>16150000</v>
          </cell>
          <cell r="X145"/>
          <cell r="Y145">
            <v>85000000</v>
          </cell>
          <cell r="Z145">
            <v>0</v>
          </cell>
          <cell r="AA145">
            <v>85000000</v>
          </cell>
          <cell r="AB145"/>
        </row>
        <row r="146">
          <cell r="G146">
            <v>132022</v>
          </cell>
          <cell r="H146" t="str">
            <v>JULIAN DAVID PEÑA MARTINEZ</v>
          </cell>
          <cell r="I146">
            <v>80167701</v>
          </cell>
          <cell r="J146">
            <v>44566</v>
          </cell>
          <cell r="K146">
            <v>44926</v>
          </cell>
          <cell r="L146" t="str">
            <v>015-22</v>
          </cell>
          <cell r="M146">
            <v>113050000</v>
          </cell>
          <cell r="N146" t="str">
            <v>007-22</v>
          </cell>
          <cell r="O146">
            <v>113050000</v>
          </cell>
          <cell r="P146">
            <v>113050000</v>
          </cell>
          <cell r="Q146"/>
          <cell r="R146">
            <v>113050000</v>
          </cell>
          <cell r="S146">
            <v>0</v>
          </cell>
          <cell r="T146">
            <v>97850000</v>
          </cell>
          <cell r="U146">
            <v>15200000</v>
          </cell>
          <cell r="V146"/>
          <cell r="W146">
            <v>15200000</v>
          </cell>
          <cell r="X146"/>
          <cell r="Y146">
            <v>97850000</v>
          </cell>
          <cell r="Z146">
            <v>0</v>
          </cell>
          <cell r="AA146">
            <v>0</v>
          </cell>
          <cell r="AB146"/>
        </row>
        <row r="147">
          <cell r="G147">
            <v>142022</v>
          </cell>
          <cell r="H147" t="str">
            <v>NATALIA BEJARANO MAYORGA</v>
          </cell>
          <cell r="I147">
            <v>52621687</v>
          </cell>
          <cell r="J147">
            <v>44566</v>
          </cell>
          <cell r="K147">
            <v>44926</v>
          </cell>
          <cell r="L147" t="str">
            <v>017-22</v>
          </cell>
          <cell r="M147">
            <v>107100000</v>
          </cell>
          <cell r="N147" t="str">
            <v>008-22</v>
          </cell>
          <cell r="O147">
            <v>107100000</v>
          </cell>
          <cell r="P147">
            <v>107100000</v>
          </cell>
          <cell r="Q147"/>
          <cell r="R147">
            <v>107100000</v>
          </cell>
          <cell r="S147">
            <v>0</v>
          </cell>
          <cell r="T147"/>
          <cell r="U147">
            <v>107100000</v>
          </cell>
          <cell r="V147"/>
          <cell r="W147">
            <v>17100000</v>
          </cell>
          <cell r="X147"/>
          <cell r="Y147">
            <v>90000000</v>
          </cell>
          <cell r="Z147">
            <v>0</v>
          </cell>
          <cell r="AA147">
            <v>90000000</v>
          </cell>
          <cell r="AB147"/>
        </row>
        <row r="148">
          <cell r="G148">
            <v>192022</v>
          </cell>
          <cell r="H148" t="str">
            <v>EDGAR ANDRES GOMEZ LOPEZ</v>
          </cell>
          <cell r="I148">
            <v>79959007</v>
          </cell>
          <cell r="J148">
            <v>44567</v>
          </cell>
          <cell r="K148">
            <v>44926</v>
          </cell>
          <cell r="L148" t="str">
            <v>012-22</v>
          </cell>
          <cell r="M148">
            <v>116858000</v>
          </cell>
          <cell r="N148" t="str">
            <v>010-22</v>
          </cell>
          <cell r="O148">
            <v>116858000</v>
          </cell>
          <cell r="P148">
            <v>116858000</v>
          </cell>
          <cell r="Q148"/>
          <cell r="R148">
            <v>116858000</v>
          </cell>
          <cell r="S148">
            <v>0</v>
          </cell>
          <cell r="T148"/>
          <cell r="U148">
            <v>116858000</v>
          </cell>
          <cell r="V148"/>
          <cell r="W148">
            <v>18330667</v>
          </cell>
          <cell r="X148"/>
          <cell r="Y148">
            <v>98527333</v>
          </cell>
          <cell r="Z148">
            <v>0</v>
          </cell>
          <cell r="AA148">
            <v>98527333</v>
          </cell>
          <cell r="AB148"/>
        </row>
        <row r="149">
          <cell r="G149">
            <v>372022</v>
          </cell>
          <cell r="H149" t="str">
            <v>ALIX DEL PILAR SEPULVEDA CARRASCAL</v>
          </cell>
          <cell r="I149">
            <v>52088314</v>
          </cell>
          <cell r="J149">
            <v>44568</v>
          </cell>
          <cell r="K149">
            <v>44810</v>
          </cell>
          <cell r="L149" t="str">
            <v>024-22</v>
          </cell>
          <cell r="M149">
            <v>96075104</v>
          </cell>
          <cell r="N149" t="str">
            <v>012-22</v>
          </cell>
          <cell r="O149">
            <v>96075104</v>
          </cell>
          <cell r="P149">
            <v>96075104</v>
          </cell>
          <cell r="Q149"/>
          <cell r="R149">
            <v>96075104</v>
          </cell>
          <cell r="S149">
            <v>0</v>
          </cell>
          <cell r="T149"/>
          <cell r="U149">
            <v>96075104</v>
          </cell>
          <cell r="V149"/>
          <cell r="W149">
            <v>22017211</v>
          </cell>
          <cell r="X149"/>
          <cell r="Y149">
            <v>74057893</v>
          </cell>
          <cell r="Z149">
            <v>0</v>
          </cell>
          <cell r="AA149">
            <v>74057893</v>
          </cell>
          <cell r="AB149"/>
        </row>
        <row r="150">
          <cell r="G150">
            <v>422022</v>
          </cell>
          <cell r="H150" t="str">
            <v>LUZ MYRIAM PUENTES CORREDOR</v>
          </cell>
          <cell r="I150">
            <v>51845334</v>
          </cell>
          <cell r="J150">
            <v>44568</v>
          </cell>
          <cell r="K150">
            <v>44926</v>
          </cell>
          <cell r="L150" t="str">
            <v>006-22</v>
          </cell>
          <cell r="M150">
            <v>28885336</v>
          </cell>
          <cell r="N150" t="str">
            <v>013-22</v>
          </cell>
          <cell r="O150">
            <v>28804423</v>
          </cell>
          <cell r="P150">
            <v>28804423</v>
          </cell>
          <cell r="Q150"/>
          <cell r="R150">
            <v>28804423</v>
          </cell>
          <cell r="S150">
            <v>0</v>
          </cell>
          <cell r="T150"/>
          <cell r="U150">
            <v>28804423</v>
          </cell>
          <cell r="V150"/>
          <cell r="W150">
            <v>4450121.5</v>
          </cell>
          <cell r="X150"/>
          <cell r="Y150">
            <v>24354301.5</v>
          </cell>
          <cell r="Z150">
            <v>0</v>
          </cell>
          <cell r="AA150">
            <v>24354301.5</v>
          </cell>
          <cell r="AB150"/>
        </row>
        <row r="151">
          <cell r="G151">
            <v>362022</v>
          </cell>
          <cell r="H151" t="str">
            <v>PABLO ARISTÓBULO SIERRA LEÓN</v>
          </cell>
          <cell r="I151">
            <v>19415387</v>
          </cell>
          <cell r="J151">
            <v>44568</v>
          </cell>
          <cell r="K151">
            <v>44926</v>
          </cell>
          <cell r="L151" t="str">
            <v>008-22</v>
          </cell>
          <cell r="M151">
            <v>127472800</v>
          </cell>
          <cell r="N151" t="str">
            <v>014-22</v>
          </cell>
          <cell r="O151">
            <v>127115733</v>
          </cell>
          <cell r="P151">
            <v>127115733</v>
          </cell>
          <cell r="Q151"/>
          <cell r="R151">
            <v>127115733</v>
          </cell>
          <cell r="S151">
            <v>0</v>
          </cell>
          <cell r="T151"/>
          <cell r="U151">
            <v>127115733</v>
          </cell>
          <cell r="V151"/>
          <cell r="W151">
            <v>19638666</v>
          </cell>
          <cell r="X151"/>
          <cell r="Y151">
            <v>107477067</v>
          </cell>
          <cell r="Z151">
            <v>0</v>
          </cell>
          <cell r="AA151">
            <v>107477067</v>
          </cell>
          <cell r="AB151"/>
        </row>
        <row r="152">
          <cell r="G152">
            <v>382022</v>
          </cell>
          <cell r="H152" t="str">
            <v>SANDRA PATRICIA SALGADO GÓMEZ</v>
          </cell>
          <cell r="I152">
            <v>1075652259</v>
          </cell>
          <cell r="J152">
            <v>44568</v>
          </cell>
          <cell r="K152">
            <v>44926</v>
          </cell>
          <cell r="L152" t="str">
            <v>010-22</v>
          </cell>
          <cell r="M152">
            <v>78778190</v>
          </cell>
          <cell r="N152" t="str">
            <v>015-22</v>
          </cell>
          <cell r="O152">
            <v>78557523</v>
          </cell>
          <cell r="P152">
            <v>78557523</v>
          </cell>
          <cell r="Q152"/>
          <cell r="R152">
            <v>78557523</v>
          </cell>
          <cell r="S152">
            <v>0</v>
          </cell>
          <cell r="T152"/>
          <cell r="U152">
            <v>78557523</v>
          </cell>
          <cell r="V152"/>
          <cell r="W152">
            <v>12136696</v>
          </cell>
          <cell r="X152"/>
          <cell r="Y152">
            <v>66420827</v>
          </cell>
          <cell r="Z152">
            <v>0</v>
          </cell>
          <cell r="AA152">
            <v>66420827</v>
          </cell>
          <cell r="AB152"/>
        </row>
        <row r="153">
          <cell r="G153">
            <v>492022</v>
          </cell>
          <cell r="H153" t="str">
            <v>JOHN HENRY  BOHORQUEZ</v>
          </cell>
          <cell r="I153">
            <v>80811353</v>
          </cell>
          <cell r="J153">
            <v>44568</v>
          </cell>
          <cell r="K153">
            <v>44926</v>
          </cell>
          <cell r="L153" t="str">
            <v>026-22</v>
          </cell>
          <cell r="M153">
            <v>73542000</v>
          </cell>
          <cell r="N153" t="str">
            <v>016-22</v>
          </cell>
          <cell r="O153">
            <v>73336000</v>
          </cell>
          <cell r="P153">
            <v>73336000</v>
          </cell>
          <cell r="Q153"/>
          <cell r="R153">
            <v>73336000</v>
          </cell>
          <cell r="S153">
            <v>0</v>
          </cell>
          <cell r="T153"/>
          <cell r="U153">
            <v>73336000</v>
          </cell>
          <cell r="V153"/>
          <cell r="W153">
            <v>11330000</v>
          </cell>
          <cell r="X153"/>
          <cell r="Y153">
            <v>62006000</v>
          </cell>
          <cell r="Z153">
            <v>0</v>
          </cell>
          <cell r="AA153">
            <v>62006000</v>
          </cell>
          <cell r="AB153"/>
        </row>
        <row r="154">
          <cell r="G154">
            <v>822022</v>
          </cell>
          <cell r="H154" t="str">
            <v>LUZ ANGELA GONZÁLEZ MOLANO</v>
          </cell>
          <cell r="I154">
            <v>52028229</v>
          </cell>
          <cell r="J154">
            <v>44568</v>
          </cell>
          <cell r="K154">
            <v>44926</v>
          </cell>
          <cell r="L154" t="str">
            <v>025-22</v>
          </cell>
          <cell r="M154">
            <v>118820800</v>
          </cell>
          <cell r="N154" t="str">
            <v>019-22</v>
          </cell>
          <cell r="O154">
            <v>59410400</v>
          </cell>
          <cell r="P154">
            <v>59410400</v>
          </cell>
          <cell r="Q154"/>
          <cell r="R154">
            <v>59410400</v>
          </cell>
          <cell r="S154">
            <v>0</v>
          </cell>
          <cell r="T154"/>
          <cell r="U154">
            <v>59410400</v>
          </cell>
          <cell r="V154"/>
          <cell r="W154">
            <v>13614883.33</v>
          </cell>
          <cell r="X154"/>
          <cell r="Y154">
            <v>45795516.670000002</v>
          </cell>
          <cell r="Z154">
            <v>0</v>
          </cell>
          <cell r="AA154">
            <v>45795516.670000002</v>
          </cell>
          <cell r="AB154"/>
        </row>
        <row r="155">
          <cell r="G155">
            <v>732022</v>
          </cell>
          <cell r="H155" t="str">
            <v>MARIA EDITH FINDLAY SOTO</v>
          </cell>
          <cell r="I155">
            <v>40758521</v>
          </cell>
          <cell r="J155">
            <v>44565</v>
          </cell>
          <cell r="K155">
            <v>44926</v>
          </cell>
          <cell r="L155" t="str">
            <v>025-22</v>
          </cell>
          <cell r="M155">
            <v>118820800</v>
          </cell>
          <cell r="N155" t="str">
            <v>020-22</v>
          </cell>
          <cell r="O155">
            <v>59410400</v>
          </cell>
          <cell r="P155">
            <v>59410400</v>
          </cell>
          <cell r="Q155"/>
          <cell r="R155">
            <v>59410400</v>
          </cell>
          <cell r="S155">
            <v>0</v>
          </cell>
          <cell r="T155"/>
          <cell r="U155">
            <v>59410400</v>
          </cell>
          <cell r="V155"/>
          <cell r="W155">
            <v>13614883.33</v>
          </cell>
          <cell r="X155"/>
          <cell r="Y155">
            <v>45795516.670000002</v>
          </cell>
          <cell r="Z155">
            <v>0</v>
          </cell>
          <cell r="AA155">
            <v>45795516.670000002</v>
          </cell>
          <cell r="AB155"/>
        </row>
        <row r="156">
          <cell r="G156">
            <v>862022</v>
          </cell>
          <cell r="H156" t="str">
            <v>JOSÉ DEL CRISTO RAMÍREZ HERNÁNDEZ</v>
          </cell>
          <cell r="I156">
            <v>19453452</v>
          </cell>
          <cell r="J156">
            <v>44572</v>
          </cell>
          <cell r="K156">
            <v>44926</v>
          </cell>
          <cell r="L156" t="str">
            <v>009-22</v>
          </cell>
          <cell r="M156">
            <v>110313000</v>
          </cell>
          <cell r="N156" t="str">
            <v>021-22</v>
          </cell>
          <cell r="O156">
            <v>109695000</v>
          </cell>
          <cell r="P156">
            <v>109695000</v>
          </cell>
          <cell r="Q156"/>
          <cell r="R156">
            <v>109695000</v>
          </cell>
          <cell r="S156">
            <v>0</v>
          </cell>
          <cell r="T156"/>
          <cell r="U156">
            <v>109695000</v>
          </cell>
          <cell r="V156"/>
          <cell r="W156">
            <v>15759000</v>
          </cell>
          <cell r="X156"/>
          <cell r="Y156">
            <v>93936000</v>
          </cell>
          <cell r="Z156">
            <v>0</v>
          </cell>
          <cell r="AA156">
            <v>93936000</v>
          </cell>
          <cell r="AB156"/>
        </row>
        <row r="157">
          <cell r="G157">
            <v>762022</v>
          </cell>
          <cell r="H157" t="str">
            <v>ALEXANDER RAMIREZ RAMIREZ</v>
          </cell>
          <cell r="I157">
            <v>79958660</v>
          </cell>
          <cell r="J157">
            <v>44573</v>
          </cell>
          <cell r="K157">
            <v>44926</v>
          </cell>
          <cell r="L157" t="str">
            <v>013-22</v>
          </cell>
          <cell r="M157">
            <v>100997680</v>
          </cell>
          <cell r="N157" t="str">
            <v>023-22</v>
          </cell>
          <cell r="O157">
            <v>100997680</v>
          </cell>
          <cell r="P157">
            <v>100997680</v>
          </cell>
          <cell r="Q157"/>
          <cell r="R157">
            <v>100997680</v>
          </cell>
          <cell r="S157">
            <v>0</v>
          </cell>
          <cell r="T157"/>
          <cell r="U157">
            <v>100997680</v>
          </cell>
          <cell r="V157"/>
          <cell r="W157">
            <v>14145333</v>
          </cell>
          <cell r="X157"/>
          <cell r="Y157">
            <v>86852347</v>
          </cell>
          <cell r="Z157">
            <v>0</v>
          </cell>
          <cell r="AA157">
            <v>86852347</v>
          </cell>
          <cell r="AB157"/>
        </row>
        <row r="158">
          <cell r="G158">
            <v>1472022</v>
          </cell>
          <cell r="H158" t="str">
            <v>CAMILO ALEJANDRO PRIETO ARANGO</v>
          </cell>
          <cell r="I158">
            <v>1030651365</v>
          </cell>
          <cell r="J158">
            <v>44574</v>
          </cell>
          <cell r="K158">
            <v>44926</v>
          </cell>
          <cell r="L158" t="str">
            <v>027-22</v>
          </cell>
          <cell r="M158">
            <v>45596040</v>
          </cell>
          <cell r="N158" t="str">
            <v>026-22</v>
          </cell>
          <cell r="O158">
            <v>45596040</v>
          </cell>
          <cell r="P158">
            <v>45596040</v>
          </cell>
          <cell r="Q158"/>
          <cell r="R158">
            <v>45596040</v>
          </cell>
          <cell r="S158">
            <v>0</v>
          </cell>
          <cell r="T158"/>
          <cell r="U158">
            <v>45596040</v>
          </cell>
          <cell r="V158"/>
          <cell r="W158">
            <v>6258280</v>
          </cell>
          <cell r="X158"/>
          <cell r="Y158">
            <v>39337760</v>
          </cell>
          <cell r="Z158">
            <v>0</v>
          </cell>
          <cell r="AA158">
            <v>39337760</v>
          </cell>
          <cell r="AB158"/>
        </row>
        <row r="159">
          <cell r="G159">
            <v>1642022</v>
          </cell>
          <cell r="H159" t="str">
            <v>Eduardo Enrique Estrada Gaviria</v>
          </cell>
          <cell r="I159">
            <v>72003499</v>
          </cell>
          <cell r="J159">
            <v>44574</v>
          </cell>
          <cell r="K159">
            <v>44817</v>
          </cell>
          <cell r="L159" t="str">
            <v>031-22</v>
          </cell>
          <cell r="M159">
            <v>315774764</v>
          </cell>
          <cell r="N159" t="str">
            <v>029-22</v>
          </cell>
          <cell r="O159">
            <v>79440192</v>
          </cell>
          <cell r="P159">
            <v>79440192</v>
          </cell>
          <cell r="Q159"/>
          <cell r="R159">
            <v>79440192</v>
          </cell>
          <cell r="S159">
            <v>0</v>
          </cell>
          <cell r="T159"/>
          <cell r="U159">
            <v>79440192</v>
          </cell>
          <cell r="V159"/>
          <cell r="W159">
            <v>16219039.199999999</v>
          </cell>
          <cell r="X159"/>
          <cell r="Y159">
            <v>63221152.799999997</v>
          </cell>
          <cell r="Z159">
            <v>0</v>
          </cell>
          <cell r="AA159">
            <v>63221152.799999997</v>
          </cell>
          <cell r="AB159"/>
        </row>
        <row r="160">
          <cell r="G160">
            <v>1882022</v>
          </cell>
          <cell r="H160" t="str">
            <v>Gabriel Alejandro Guzmán Useche</v>
          </cell>
          <cell r="I160">
            <v>80124255</v>
          </cell>
          <cell r="J160">
            <v>44578</v>
          </cell>
          <cell r="K160">
            <v>44926</v>
          </cell>
          <cell r="L160" t="str">
            <v>031-22</v>
          </cell>
          <cell r="M160">
            <v>315774764</v>
          </cell>
          <cell r="N160" t="str">
            <v>032-22</v>
          </cell>
          <cell r="O160">
            <v>115519279</v>
          </cell>
          <cell r="P160">
            <v>115519279</v>
          </cell>
          <cell r="Q160"/>
          <cell r="R160">
            <v>115519279</v>
          </cell>
          <cell r="S160">
            <v>0</v>
          </cell>
          <cell r="T160"/>
          <cell r="U160">
            <v>115519279</v>
          </cell>
          <cell r="V160"/>
          <cell r="W160">
            <v>14895036</v>
          </cell>
          <cell r="X160"/>
          <cell r="Y160">
            <v>100624243</v>
          </cell>
          <cell r="Z160">
            <v>0</v>
          </cell>
          <cell r="AA160">
            <v>100624243</v>
          </cell>
          <cell r="AB160"/>
        </row>
        <row r="161">
          <cell r="G161">
            <v>1962022</v>
          </cell>
          <cell r="H161" t="str">
            <v>LUZ ANGELA MARTINEZ BRAVO</v>
          </cell>
          <cell r="I161">
            <v>39535735</v>
          </cell>
          <cell r="J161">
            <v>44575</v>
          </cell>
          <cell r="K161">
            <v>44926</v>
          </cell>
          <cell r="L161" t="str">
            <v>031-22</v>
          </cell>
          <cell r="M161">
            <v>315774764</v>
          </cell>
          <cell r="N161" t="str">
            <v>033-22</v>
          </cell>
          <cell r="O161">
            <v>115519579</v>
          </cell>
          <cell r="P161">
            <v>115519579</v>
          </cell>
          <cell r="Q161"/>
          <cell r="R161">
            <v>115519579</v>
          </cell>
          <cell r="S161">
            <v>0</v>
          </cell>
          <cell r="T161"/>
          <cell r="U161">
            <v>115519579</v>
          </cell>
          <cell r="V161"/>
          <cell r="W161">
            <v>15888038</v>
          </cell>
          <cell r="X161"/>
          <cell r="Y161">
            <v>99631541</v>
          </cell>
          <cell r="Z161">
            <v>0</v>
          </cell>
          <cell r="AA161">
            <v>99631541</v>
          </cell>
          <cell r="AB161"/>
        </row>
        <row r="162">
          <cell r="G162">
            <v>2942022</v>
          </cell>
          <cell r="H162" t="str">
            <v>MIGUEL ALFONSO CALDERÓN MOLINA</v>
          </cell>
          <cell r="I162">
            <v>1118530603</v>
          </cell>
          <cell r="J162">
            <v>44581</v>
          </cell>
          <cell r="K162">
            <v>44761</v>
          </cell>
          <cell r="L162" t="str">
            <v>029-22</v>
          </cell>
          <cell r="M162">
            <v>18536046</v>
          </cell>
          <cell r="N162" t="str">
            <v>039-22</v>
          </cell>
          <cell r="O162">
            <v>18536046</v>
          </cell>
          <cell r="P162">
            <v>18536046</v>
          </cell>
          <cell r="Q162"/>
          <cell r="R162">
            <v>18536046</v>
          </cell>
          <cell r="S162">
            <v>0</v>
          </cell>
          <cell r="T162"/>
          <cell r="U162">
            <v>18536046</v>
          </cell>
          <cell r="V162"/>
          <cell r="W162">
            <v>4325077</v>
          </cell>
          <cell r="X162"/>
          <cell r="Y162">
            <v>14210969</v>
          </cell>
          <cell r="Z162">
            <v>0</v>
          </cell>
          <cell r="AA162">
            <v>14210969</v>
          </cell>
          <cell r="AB162"/>
        </row>
        <row r="163">
          <cell r="G163">
            <v>3502022</v>
          </cell>
          <cell r="H163" t="str">
            <v>RIGOBERTO OLIVELLA ARZUAGA</v>
          </cell>
          <cell r="I163">
            <v>12722257</v>
          </cell>
          <cell r="J163">
            <v>44586</v>
          </cell>
          <cell r="K163">
            <v>44926</v>
          </cell>
          <cell r="L163" t="str">
            <v>070-22</v>
          </cell>
          <cell r="M163">
            <v>329676796</v>
          </cell>
          <cell r="N163" t="str">
            <v>055-22</v>
          </cell>
          <cell r="O163">
            <v>52960128</v>
          </cell>
          <cell r="P163">
            <v>52960128</v>
          </cell>
          <cell r="Q163"/>
          <cell r="R163">
            <v>52960128</v>
          </cell>
          <cell r="S163">
            <v>0</v>
          </cell>
          <cell r="T163"/>
          <cell r="U163">
            <v>52960128</v>
          </cell>
          <cell r="V163"/>
          <cell r="W163">
            <v>8164686</v>
          </cell>
          <cell r="X163"/>
          <cell r="Y163">
            <v>44795442</v>
          </cell>
          <cell r="Z163">
            <v>0</v>
          </cell>
          <cell r="AA163">
            <v>44795442</v>
          </cell>
          <cell r="AB163"/>
        </row>
        <row r="164">
          <cell r="G164">
            <v>3442022</v>
          </cell>
          <cell r="H164" t="str">
            <v>ANDRES FELIPE VILLAMARIN SALAZAR</v>
          </cell>
          <cell r="I164">
            <v>1061773616</v>
          </cell>
          <cell r="J164">
            <v>44581</v>
          </cell>
          <cell r="K164">
            <v>44926</v>
          </cell>
          <cell r="L164" t="str">
            <v>028-22</v>
          </cell>
          <cell r="M164">
            <v>36763156</v>
          </cell>
          <cell r="N164" t="str">
            <v>053-22</v>
          </cell>
          <cell r="O164">
            <v>35424443</v>
          </cell>
          <cell r="P164">
            <v>35424443</v>
          </cell>
          <cell r="Q164"/>
          <cell r="R164">
            <v>35424443</v>
          </cell>
          <cell r="S164">
            <v>0</v>
          </cell>
          <cell r="T164"/>
          <cell r="U164">
            <v>35424443</v>
          </cell>
          <cell r="V164"/>
          <cell r="W164">
            <v>4325077</v>
          </cell>
          <cell r="X164"/>
          <cell r="Y164">
            <v>31099366</v>
          </cell>
          <cell r="Z164">
            <v>0</v>
          </cell>
          <cell r="AA164">
            <v>31099366</v>
          </cell>
          <cell r="AB164"/>
        </row>
        <row r="165">
          <cell r="G165">
            <v>3482022</v>
          </cell>
          <cell r="H165" t="str">
            <v>EDWIN JOHANN CALVO FONSECA</v>
          </cell>
          <cell r="I165">
            <v>1051815327</v>
          </cell>
          <cell r="J165">
            <v>44586</v>
          </cell>
          <cell r="K165" t="str">
            <v>24/072022</v>
          </cell>
          <cell r="L165" t="str">
            <v>070-22</v>
          </cell>
          <cell r="M165">
            <v>329676796</v>
          </cell>
          <cell r="N165" t="str">
            <v>054-22</v>
          </cell>
          <cell r="O165">
            <v>39720096</v>
          </cell>
          <cell r="P165">
            <v>39720096</v>
          </cell>
          <cell r="Q165"/>
          <cell r="R165">
            <v>39720096</v>
          </cell>
          <cell r="S165">
            <v>0</v>
          </cell>
          <cell r="T165"/>
          <cell r="U165">
            <v>39720096</v>
          </cell>
          <cell r="V165"/>
          <cell r="W165">
            <v>8164686</v>
          </cell>
          <cell r="X165"/>
          <cell r="Y165">
            <v>31555410</v>
          </cell>
          <cell r="Z165">
            <v>0</v>
          </cell>
          <cell r="AA165">
            <v>31555410</v>
          </cell>
          <cell r="AB165"/>
        </row>
        <row r="166">
          <cell r="G166">
            <v>3952022</v>
          </cell>
          <cell r="H166" t="str">
            <v>GUSTAVO ADOLFO CORTES MOSQUERA</v>
          </cell>
          <cell r="I166">
            <v>11811828</v>
          </cell>
          <cell r="J166">
            <v>44587</v>
          </cell>
          <cell r="K166">
            <v>44765</v>
          </cell>
          <cell r="L166" t="str">
            <v>070-22</v>
          </cell>
          <cell r="M166">
            <v>329676796</v>
          </cell>
          <cell r="N166" t="str">
            <v>070-22</v>
          </cell>
          <cell r="O166">
            <v>39720096</v>
          </cell>
          <cell r="P166">
            <v>39720096</v>
          </cell>
          <cell r="Q166"/>
          <cell r="R166">
            <v>39720096</v>
          </cell>
          <cell r="S166">
            <v>0</v>
          </cell>
          <cell r="T166"/>
          <cell r="U166">
            <v>39720096</v>
          </cell>
          <cell r="V166"/>
          <cell r="W166">
            <v>7944019</v>
          </cell>
          <cell r="X166"/>
          <cell r="Y166">
            <v>31776077</v>
          </cell>
          <cell r="Z166">
            <v>0</v>
          </cell>
          <cell r="AA166">
            <v>31776077</v>
          </cell>
          <cell r="AB166"/>
        </row>
        <row r="167">
          <cell r="G167">
            <v>3492022</v>
          </cell>
          <cell r="H167" t="str">
            <v>SATURNINO SOLER ARIAS</v>
          </cell>
          <cell r="I167">
            <v>6752042</v>
          </cell>
          <cell r="J167">
            <v>44586</v>
          </cell>
          <cell r="K167">
            <v>44919</v>
          </cell>
          <cell r="L167" t="str">
            <v>070-22</v>
          </cell>
          <cell r="M167">
            <v>39720096</v>
          </cell>
          <cell r="N167" t="str">
            <v>056-22</v>
          </cell>
          <cell r="O167">
            <v>77012853</v>
          </cell>
          <cell r="P167">
            <v>77012853</v>
          </cell>
          <cell r="Q167"/>
          <cell r="R167">
            <v>77012853</v>
          </cell>
          <cell r="S167">
            <v>0</v>
          </cell>
          <cell r="T167"/>
          <cell r="U167">
            <v>77012853</v>
          </cell>
          <cell r="V167"/>
          <cell r="W167">
            <v>8164686</v>
          </cell>
          <cell r="X167"/>
          <cell r="Y167">
            <v>68848167</v>
          </cell>
          <cell r="Z167">
            <v>0</v>
          </cell>
          <cell r="AA167">
            <v>68848167</v>
          </cell>
          <cell r="AB167"/>
        </row>
        <row r="168">
          <cell r="G168">
            <v>3602022</v>
          </cell>
          <cell r="H168" t="str">
            <v>OMAR ENRIQUE HANGGI VALOYES</v>
          </cell>
          <cell r="I168">
            <v>79945793</v>
          </cell>
          <cell r="J168">
            <v>44581</v>
          </cell>
          <cell r="K168">
            <v>44926</v>
          </cell>
          <cell r="L168" t="str">
            <v>053-22</v>
          </cell>
          <cell r="M168">
            <v>116441500</v>
          </cell>
          <cell r="N168" t="str">
            <v>051-22</v>
          </cell>
          <cell r="O168">
            <v>111875167</v>
          </cell>
          <cell r="P168">
            <v>111875167</v>
          </cell>
          <cell r="Q168"/>
          <cell r="R168">
            <v>111875167</v>
          </cell>
          <cell r="S168">
            <v>0</v>
          </cell>
          <cell r="T168"/>
          <cell r="U168">
            <v>111875167</v>
          </cell>
          <cell r="V168"/>
          <cell r="W168">
            <v>13699000</v>
          </cell>
          <cell r="X168"/>
          <cell r="Y168">
            <v>98176167</v>
          </cell>
          <cell r="Z168">
            <v>0</v>
          </cell>
          <cell r="AA168">
            <v>98176167</v>
          </cell>
          <cell r="AB168"/>
        </row>
        <row r="169">
          <cell r="G169">
            <v>3592022</v>
          </cell>
          <cell r="H169" t="str">
            <v>ARGEMIRO ALVAREZ JIMÉNEZ</v>
          </cell>
          <cell r="I169" t="str">
            <v>9525069</v>
          </cell>
          <cell r="J169">
            <v>44585</v>
          </cell>
          <cell r="K169">
            <v>44852</v>
          </cell>
          <cell r="L169" t="str">
            <v>066-22</v>
          </cell>
          <cell r="M169">
            <v>78795000</v>
          </cell>
          <cell r="N169" t="str">
            <v>052-22</v>
          </cell>
          <cell r="O169">
            <v>78795000</v>
          </cell>
          <cell r="P169">
            <v>78795000</v>
          </cell>
          <cell r="Q169"/>
          <cell r="R169">
            <v>78795000</v>
          </cell>
          <cell r="S169">
            <v>0</v>
          </cell>
          <cell r="T169"/>
          <cell r="U169">
            <v>78795000</v>
          </cell>
          <cell r="V169"/>
          <cell r="W169">
            <v>11089667</v>
          </cell>
          <cell r="X169"/>
          <cell r="Y169">
            <v>67705333</v>
          </cell>
          <cell r="Z169">
            <v>0</v>
          </cell>
          <cell r="AA169">
            <v>67705333</v>
          </cell>
          <cell r="AB169"/>
        </row>
        <row r="170">
          <cell r="G170">
            <v>3662022</v>
          </cell>
          <cell r="H170" t="str">
            <v>YUDI VIVIANA MINA CHALA</v>
          </cell>
          <cell r="I170" t="str">
            <v>1062283645</v>
          </cell>
          <cell r="J170">
            <v>44585</v>
          </cell>
          <cell r="K170">
            <v>44828</v>
          </cell>
          <cell r="L170" t="str">
            <v>057-22</v>
          </cell>
          <cell r="M170">
            <v>44133440</v>
          </cell>
          <cell r="N170" t="str">
            <v>058-22</v>
          </cell>
          <cell r="O170">
            <v>44133440</v>
          </cell>
          <cell r="P170">
            <v>44133440</v>
          </cell>
          <cell r="Q170"/>
          <cell r="R170">
            <v>44133440</v>
          </cell>
          <cell r="S170">
            <v>0</v>
          </cell>
          <cell r="T170"/>
          <cell r="U170">
            <v>44133440</v>
          </cell>
          <cell r="V170"/>
          <cell r="W170">
            <v>6987795</v>
          </cell>
          <cell r="X170"/>
          <cell r="Y170">
            <v>37145645</v>
          </cell>
          <cell r="Z170">
            <v>0</v>
          </cell>
          <cell r="AA170">
            <v>37145645</v>
          </cell>
          <cell r="AB170"/>
        </row>
        <row r="171">
          <cell r="G171">
            <v>4472022</v>
          </cell>
          <cell r="H171" t="str">
            <v>Harbey Martinez Medina</v>
          </cell>
          <cell r="I171" t="str">
            <v>79380153</v>
          </cell>
          <cell r="J171">
            <v>44596</v>
          </cell>
          <cell r="K171">
            <v>44920</v>
          </cell>
          <cell r="L171" t="str">
            <v>070-22</v>
          </cell>
          <cell r="M171">
            <v>329676796</v>
          </cell>
          <cell r="N171" t="str">
            <v>076-22</v>
          </cell>
          <cell r="O171">
            <v>74364846</v>
          </cell>
          <cell r="P171">
            <v>74364846</v>
          </cell>
          <cell r="Q171"/>
          <cell r="R171">
            <v>74364846</v>
          </cell>
          <cell r="S171">
            <v>0</v>
          </cell>
          <cell r="T171"/>
          <cell r="U171">
            <v>74364846</v>
          </cell>
          <cell r="V171"/>
          <cell r="W171">
            <v>5516680</v>
          </cell>
          <cell r="X171"/>
          <cell r="Y171">
            <v>68848166</v>
          </cell>
          <cell r="Z171">
            <v>0</v>
          </cell>
          <cell r="AA171">
            <v>68848166</v>
          </cell>
          <cell r="AB171"/>
        </row>
        <row r="172">
          <cell r="G172">
            <v>5022022</v>
          </cell>
          <cell r="H172" t="str">
            <v>Martha Lucia Rico Santos</v>
          </cell>
          <cell r="I172" t="str">
            <v>37250785</v>
          </cell>
          <cell r="J172">
            <v>44593</v>
          </cell>
          <cell r="K172">
            <v>44773</v>
          </cell>
          <cell r="L172" t="str">
            <v>070-22</v>
          </cell>
          <cell r="M172">
            <v>329676796</v>
          </cell>
          <cell r="N172" t="str">
            <v>100-22</v>
          </cell>
          <cell r="O172">
            <v>39720096</v>
          </cell>
          <cell r="P172">
            <v>39720096</v>
          </cell>
          <cell r="Q172"/>
          <cell r="R172">
            <v>39720096</v>
          </cell>
          <cell r="S172">
            <v>0</v>
          </cell>
          <cell r="T172"/>
          <cell r="U172">
            <v>39720096</v>
          </cell>
          <cell r="V172"/>
          <cell r="W172">
            <v>6620016</v>
          </cell>
          <cell r="X172"/>
          <cell r="Y172">
            <v>33100080</v>
          </cell>
          <cell r="Z172">
            <v>0</v>
          </cell>
          <cell r="AA172">
            <v>33100080</v>
          </cell>
          <cell r="AB172"/>
        </row>
        <row r="173">
          <cell r="G173">
            <v>1120221</v>
          </cell>
          <cell r="H173" t="str">
            <v>PAULA ANDREA BRAVO ROSERO</v>
          </cell>
          <cell r="I173">
            <v>1061707223</v>
          </cell>
          <cell r="J173">
            <v>44566</v>
          </cell>
          <cell r="K173">
            <v>44926</v>
          </cell>
          <cell r="L173" t="str">
            <v>014-22</v>
          </cell>
          <cell r="M173">
            <v>101150000</v>
          </cell>
          <cell r="N173" t="str">
            <v>113-22</v>
          </cell>
          <cell r="O173">
            <v>87550000</v>
          </cell>
          <cell r="P173">
            <v>87550000</v>
          </cell>
          <cell r="Q173"/>
          <cell r="R173">
            <v>87550000</v>
          </cell>
          <cell r="S173">
            <v>0</v>
          </cell>
          <cell r="T173"/>
          <cell r="U173">
            <v>87550000</v>
          </cell>
          <cell r="V173"/>
          <cell r="W173">
            <v>1700000</v>
          </cell>
          <cell r="X173"/>
          <cell r="Y173">
            <v>85850000</v>
          </cell>
          <cell r="Z173">
            <v>0</v>
          </cell>
          <cell r="AA173">
            <v>85850000</v>
          </cell>
          <cell r="AB173"/>
        </row>
        <row r="174">
          <cell r="G174">
            <v>1320221</v>
          </cell>
          <cell r="H174" t="str">
            <v>HELENA PEÑA URREGO</v>
          </cell>
          <cell r="I174" t="str">
            <v>52482091</v>
          </cell>
          <cell r="J174">
            <v>44566</v>
          </cell>
          <cell r="K174">
            <v>44926</v>
          </cell>
          <cell r="L174" t="str">
            <v>015-22</v>
          </cell>
          <cell r="M174">
            <v>113050000</v>
          </cell>
          <cell r="N174" t="str">
            <v>114-22</v>
          </cell>
          <cell r="O174">
            <v>97850000</v>
          </cell>
          <cell r="P174">
            <v>97850000</v>
          </cell>
          <cell r="Q174"/>
          <cell r="R174">
            <v>97850000</v>
          </cell>
          <cell r="S174">
            <v>0</v>
          </cell>
          <cell r="T174"/>
          <cell r="U174">
            <v>97850000</v>
          </cell>
          <cell r="V174"/>
          <cell r="W174">
            <v>1900000</v>
          </cell>
          <cell r="X174"/>
          <cell r="Y174">
            <v>95950000</v>
          </cell>
          <cell r="Z174">
            <v>0</v>
          </cell>
          <cell r="AA174">
            <v>95950000</v>
          </cell>
          <cell r="AB174"/>
        </row>
        <row r="175">
          <cell r="G175"/>
          <cell r="H175"/>
          <cell r="I175"/>
          <cell r="J175"/>
          <cell r="K175"/>
          <cell r="L175"/>
          <cell r="M175"/>
          <cell r="N175"/>
          <cell r="O175"/>
          <cell r="P175"/>
          <cell r="Q175"/>
          <cell r="R175">
            <v>0</v>
          </cell>
          <cell r="S175">
            <v>0</v>
          </cell>
          <cell r="T175"/>
          <cell r="U175">
            <v>0</v>
          </cell>
          <cell r="V175"/>
          <cell r="W175"/>
          <cell r="X175"/>
          <cell r="Y175">
            <v>0</v>
          </cell>
          <cell r="Z175">
            <v>0</v>
          </cell>
          <cell r="AA175">
            <v>0</v>
          </cell>
          <cell r="AB175"/>
        </row>
        <row r="176">
          <cell r="G176"/>
          <cell r="H176"/>
          <cell r="I176"/>
          <cell r="J176"/>
          <cell r="K176"/>
          <cell r="L176"/>
          <cell r="M176"/>
          <cell r="N176"/>
          <cell r="O176"/>
          <cell r="P176"/>
          <cell r="Q176"/>
          <cell r="R176">
            <v>0</v>
          </cell>
          <cell r="S176">
            <v>0</v>
          </cell>
          <cell r="T176"/>
          <cell r="U176">
            <v>0</v>
          </cell>
          <cell r="V176"/>
          <cell r="W176"/>
          <cell r="X176"/>
          <cell r="Y176">
            <v>0</v>
          </cell>
          <cell r="Z176">
            <v>0</v>
          </cell>
          <cell r="AA176">
            <v>0</v>
          </cell>
          <cell r="AB176"/>
        </row>
        <row r="177">
          <cell r="G177"/>
          <cell r="H177"/>
          <cell r="I177"/>
          <cell r="J177"/>
          <cell r="K177"/>
          <cell r="L177"/>
          <cell r="M177">
            <v>4582907260</v>
          </cell>
          <cell r="N177"/>
          <cell r="O177">
            <v>2426447564</v>
          </cell>
          <cell r="P177">
            <v>5846807564</v>
          </cell>
          <cell r="Q177">
            <v>0</v>
          </cell>
          <cell r="R177">
            <v>5846807564</v>
          </cell>
          <cell r="S177">
            <v>0</v>
          </cell>
          <cell r="T177">
            <v>185400000</v>
          </cell>
          <cell r="U177">
            <v>5661407564</v>
          </cell>
          <cell r="V177">
            <v>338592436</v>
          </cell>
          <cell r="W177">
            <v>348949243.36000001</v>
          </cell>
          <cell r="X177">
            <v>0</v>
          </cell>
          <cell r="Y177">
            <v>5497858320.6400003</v>
          </cell>
          <cell r="Z177">
            <v>0</v>
          </cell>
          <cell r="AA177">
            <v>5312458320.6400003</v>
          </cell>
          <cell r="AB177"/>
        </row>
        <row r="178">
          <cell r="G178"/>
          <cell r="H178"/>
          <cell r="I178"/>
          <cell r="J178"/>
          <cell r="K178"/>
          <cell r="L178"/>
          <cell r="M178"/>
          <cell r="N178"/>
          <cell r="O178"/>
          <cell r="P178"/>
          <cell r="Q178"/>
          <cell r="R178">
            <v>11189137883</v>
          </cell>
          <cell r="S178">
            <v>48160839.5</v>
          </cell>
          <cell r="T178">
            <v>185400000</v>
          </cell>
          <cell r="U178">
            <v>10866498722.5</v>
          </cell>
          <cell r="V178">
            <v>20608207122.5</v>
          </cell>
          <cell r="W178">
            <v>891456124.69000006</v>
          </cell>
          <cell r="X178">
            <v>0</v>
          </cell>
          <cell r="Y178">
            <v>10173681758.310001</v>
          </cell>
          <cell r="Z178">
            <v>124000000</v>
          </cell>
          <cell r="AA178">
            <v>9975042597.8100014</v>
          </cell>
          <cell r="AB178"/>
        </row>
        <row r="179">
          <cell r="G179"/>
          <cell r="H179"/>
          <cell r="I179"/>
          <cell r="J179"/>
          <cell r="K179"/>
          <cell r="L179"/>
          <cell r="M179"/>
          <cell r="N179"/>
          <cell r="O179"/>
          <cell r="P179"/>
          <cell r="Q179"/>
          <cell r="R179"/>
          <cell r="S179"/>
          <cell r="T179"/>
          <cell r="U179"/>
          <cell r="V179">
            <v>30583249720.310001</v>
          </cell>
          <cell r="W179"/>
          <cell r="X179"/>
          <cell r="Y179"/>
          <cell r="Z179"/>
          <cell r="AA179"/>
          <cell r="AB179"/>
        </row>
        <row r="180">
          <cell r="G180"/>
          <cell r="H180"/>
          <cell r="I180"/>
          <cell r="J180"/>
          <cell r="K180"/>
          <cell r="L180"/>
          <cell r="M180"/>
          <cell r="N180"/>
          <cell r="O180"/>
          <cell r="P180"/>
          <cell r="Q180"/>
          <cell r="R180"/>
          <cell r="S180"/>
          <cell r="T180"/>
          <cell r="U180"/>
          <cell r="V180"/>
          <cell r="W180"/>
          <cell r="X180"/>
          <cell r="Y180"/>
          <cell r="Z180"/>
          <cell r="AA180"/>
          <cell r="AB180"/>
        </row>
        <row r="181">
          <cell r="G181"/>
          <cell r="H181"/>
          <cell r="I181"/>
          <cell r="J181"/>
          <cell r="K181"/>
          <cell r="L181"/>
          <cell r="M181"/>
          <cell r="N181"/>
          <cell r="O181"/>
          <cell r="P181"/>
          <cell r="Q181"/>
          <cell r="R181"/>
          <cell r="S181"/>
          <cell r="T181"/>
          <cell r="U181"/>
          <cell r="V181"/>
          <cell r="W181"/>
          <cell r="X181"/>
          <cell r="Y181"/>
          <cell r="Z181"/>
          <cell r="AA181"/>
          <cell r="AB181"/>
        </row>
        <row r="182">
          <cell r="G182"/>
          <cell r="H182"/>
          <cell r="I182"/>
          <cell r="J182"/>
          <cell r="K182"/>
          <cell r="L182"/>
          <cell r="M182"/>
          <cell r="N182"/>
          <cell r="O182"/>
          <cell r="P182"/>
          <cell r="Q182"/>
          <cell r="R182"/>
          <cell r="S182"/>
          <cell r="T182"/>
          <cell r="U182"/>
          <cell r="V182"/>
          <cell r="W182"/>
          <cell r="X182"/>
          <cell r="Y182"/>
          <cell r="Z182"/>
          <cell r="AA182"/>
          <cell r="AB182"/>
        </row>
        <row r="183">
          <cell r="G183"/>
          <cell r="H183"/>
          <cell r="I183"/>
          <cell r="J183"/>
          <cell r="K183"/>
          <cell r="L183"/>
          <cell r="M183"/>
          <cell r="N183"/>
          <cell r="O183"/>
          <cell r="P183"/>
          <cell r="Q183"/>
          <cell r="R183"/>
          <cell r="S183"/>
          <cell r="T183"/>
          <cell r="U183"/>
          <cell r="V183"/>
          <cell r="W183"/>
          <cell r="X183"/>
          <cell r="Y183"/>
          <cell r="Z183"/>
          <cell r="AA183"/>
          <cell r="AB183"/>
        </row>
        <row r="184">
          <cell r="G184"/>
          <cell r="H184"/>
          <cell r="I184"/>
          <cell r="J184"/>
          <cell r="K184"/>
          <cell r="L184"/>
          <cell r="M184"/>
          <cell r="N184"/>
          <cell r="O184"/>
          <cell r="P184"/>
          <cell r="Q184"/>
          <cell r="R184"/>
          <cell r="S184"/>
          <cell r="T184"/>
          <cell r="U184"/>
          <cell r="V184"/>
          <cell r="W184"/>
          <cell r="X184"/>
          <cell r="Y184"/>
          <cell r="Z184"/>
          <cell r="AA184"/>
          <cell r="AB184"/>
        </row>
        <row r="185">
          <cell r="G185"/>
          <cell r="H185"/>
          <cell r="I185"/>
          <cell r="J185"/>
          <cell r="K185"/>
          <cell r="L185"/>
          <cell r="M185"/>
          <cell r="N185"/>
          <cell r="O185"/>
          <cell r="P185"/>
          <cell r="Q185"/>
          <cell r="R185"/>
          <cell r="S185"/>
          <cell r="T185"/>
          <cell r="U185"/>
          <cell r="V185"/>
          <cell r="W185"/>
          <cell r="X185"/>
          <cell r="Y185"/>
          <cell r="Z185"/>
          <cell r="AA185"/>
          <cell r="AB185"/>
        </row>
        <row r="186">
          <cell r="G186"/>
          <cell r="H186"/>
          <cell r="I186"/>
          <cell r="J186"/>
          <cell r="K186"/>
          <cell r="L186"/>
          <cell r="M186"/>
          <cell r="N186"/>
          <cell r="O186"/>
          <cell r="P186"/>
          <cell r="Q186"/>
          <cell r="R186"/>
          <cell r="S186"/>
          <cell r="T186"/>
          <cell r="U186"/>
          <cell r="V186"/>
          <cell r="W186"/>
          <cell r="X186"/>
          <cell r="Y186"/>
          <cell r="Z186"/>
          <cell r="AA186"/>
          <cell r="AB186"/>
        </row>
        <row r="187">
          <cell r="J187"/>
          <cell r="K187"/>
          <cell r="L187"/>
          <cell r="M187"/>
          <cell r="N187"/>
          <cell r="O187"/>
          <cell r="P187"/>
          <cell r="Q187"/>
          <cell r="R187"/>
          <cell r="S187"/>
          <cell r="T187"/>
          <cell r="U187"/>
          <cell r="V187"/>
        </row>
        <row r="188">
          <cell r="J188"/>
          <cell r="K188"/>
          <cell r="L188"/>
          <cell r="M188"/>
          <cell r="N188"/>
          <cell r="O188"/>
          <cell r="P188"/>
          <cell r="Q188"/>
          <cell r="R188"/>
          <cell r="S188"/>
          <cell r="T188"/>
          <cell r="U188"/>
          <cell r="V188"/>
        </row>
        <row r="189">
          <cell r="J189"/>
          <cell r="K189"/>
          <cell r="L189"/>
          <cell r="M189"/>
          <cell r="N189"/>
          <cell r="O189"/>
          <cell r="P189"/>
          <cell r="Q189"/>
          <cell r="R189"/>
          <cell r="S189"/>
          <cell r="T189"/>
          <cell r="U189"/>
          <cell r="V189"/>
          <cell r="AA189"/>
        </row>
        <row r="190">
          <cell r="J190"/>
          <cell r="K190"/>
          <cell r="L190"/>
          <cell r="M190"/>
          <cell r="N190"/>
          <cell r="O190"/>
          <cell r="P190"/>
          <cell r="Q190"/>
          <cell r="R190"/>
          <cell r="S190"/>
          <cell r="T190"/>
          <cell r="U190"/>
          <cell r="V190"/>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IT4673"/>
  <sheetViews>
    <sheetView tabSelected="1" topLeftCell="B4614" zoomScale="70" zoomScaleNormal="70" zoomScaleSheetLayoutView="40" workbookViewId="0">
      <selection activeCell="B1" sqref="B1:L4663"/>
    </sheetView>
  </sheetViews>
  <sheetFormatPr baseColWidth="10" defaultColWidth="11.42578125" defaultRowHeight="8.25" customHeight="1" x14ac:dyDescent="0.25"/>
  <cols>
    <col min="1" max="1" width="20.5703125" style="21" hidden="1" customWidth="1"/>
    <col min="2" max="2" width="11.85546875" style="200" customWidth="1"/>
    <col min="3" max="3" width="40.42578125" style="200" customWidth="1"/>
    <col min="4" max="4" width="28.28515625" style="200" customWidth="1"/>
    <col min="5" max="5" width="25.5703125" style="138" customWidth="1"/>
    <col min="6" max="6" width="8.28515625" style="138" customWidth="1"/>
    <col min="7" max="7" width="23.140625" style="138" bestFit="1" customWidth="1"/>
    <col min="8" max="8" width="17.85546875" style="138" bestFit="1" customWidth="1"/>
    <col min="9" max="9" width="19.7109375" style="138" customWidth="1"/>
    <col min="10" max="10" width="17.85546875" style="138" bestFit="1" customWidth="1"/>
    <col min="11" max="11" width="24.85546875" style="138" bestFit="1" customWidth="1"/>
    <col min="12" max="12" width="27" style="138" customWidth="1"/>
    <col min="13" max="14" width="27" style="138" hidden="1" customWidth="1"/>
    <col min="15" max="15" width="23.140625" style="21" customWidth="1"/>
    <col min="16" max="16" width="15.28515625" style="21" bestFit="1" customWidth="1"/>
    <col min="17" max="17" width="14.42578125" style="21" bestFit="1" customWidth="1"/>
    <col min="18" max="18" width="17.140625" style="3" customWidth="1"/>
    <col min="19" max="19" width="16.7109375" style="3" customWidth="1"/>
    <col min="20" max="20" width="18.5703125" style="3" bestFit="1" customWidth="1"/>
    <col min="21" max="21" width="16.28515625" style="21" bestFit="1" customWidth="1"/>
    <col min="22" max="22" width="18.140625" style="21" bestFit="1" customWidth="1"/>
    <col min="23" max="23" width="11.42578125" style="21"/>
    <col min="24" max="24" width="17.85546875" style="21" bestFit="1" customWidth="1"/>
    <col min="25" max="16384" width="11.42578125" style="21"/>
  </cols>
  <sheetData>
    <row r="1" spans="2:63" s="2" customFormat="1" ht="28.15" customHeight="1" x14ac:dyDescent="0.25">
      <c r="B1" s="278" t="s">
        <v>0</v>
      </c>
      <c r="C1" s="279"/>
      <c r="D1" s="279"/>
      <c r="E1" s="279"/>
      <c r="F1" s="279"/>
      <c r="G1" s="279"/>
      <c r="H1" s="279"/>
      <c r="I1" s="279"/>
      <c r="J1" s="279"/>
      <c r="K1" s="279"/>
      <c r="L1" s="279"/>
      <c r="M1" s="1"/>
      <c r="N1" s="1"/>
      <c r="R1" s="3"/>
      <c r="S1" s="3"/>
      <c r="T1" s="3"/>
    </row>
    <row r="2" spans="2:63" s="2" customFormat="1" ht="12.75" customHeight="1" x14ac:dyDescent="0.25">
      <c r="B2" s="280" t="s">
        <v>1</v>
      </c>
      <c r="C2" s="279" t="s">
        <v>2</v>
      </c>
      <c r="D2" s="4"/>
      <c r="E2" s="5"/>
      <c r="F2" s="5"/>
      <c r="G2" s="282" t="s">
        <v>3</v>
      </c>
      <c r="H2" s="6" t="s">
        <v>4</v>
      </c>
      <c r="I2" s="7" t="s">
        <v>5</v>
      </c>
      <c r="J2" s="7" t="s">
        <v>6</v>
      </c>
      <c r="K2" s="276" t="s">
        <v>7</v>
      </c>
      <c r="L2" s="276" t="s">
        <v>8</v>
      </c>
      <c r="M2" s="8"/>
      <c r="N2" s="8"/>
      <c r="P2" s="276" t="s">
        <v>9</v>
      </c>
      <c r="Q2" s="276" t="s">
        <v>10</v>
      </c>
      <c r="R2" s="277" t="s">
        <v>11</v>
      </c>
      <c r="S2" s="277" t="s">
        <v>12</v>
      </c>
      <c r="T2" s="3"/>
    </row>
    <row r="3" spans="2:63" s="2" customFormat="1" ht="21" hidden="1" customHeight="1" x14ac:dyDescent="0.25">
      <c r="B3" s="281"/>
      <c r="C3" s="279"/>
      <c r="D3" s="4" t="s">
        <v>13</v>
      </c>
      <c r="E3" s="5" t="s">
        <v>14</v>
      </c>
      <c r="F3" s="5" t="s">
        <v>15</v>
      </c>
      <c r="G3" s="282"/>
      <c r="H3" s="5" t="s">
        <v>4</v>
      </c>
      <c r="I3" s="5" t="s">
        <v>16</v>
      </c>
      <c r="J3" s="5" t="s">
        <v>6</v>
      </c>
      <c r="K3" s="282"/>
      <c r="L3" s="276"/>
      <c r="M3" s="8"/>
      <c r="N3" s="8"/>
      <c r="P3" s="276"/>
      <c r="Q3" s="276"/>
      <c r="R3" s="277"/>
      <c r="S3" s="277"/>
      <c r="T3" s="3"/>
    </row>
    <row r="4" spans="2:63" s="15" customFormat="1" ht="15" hidden="1" x14ac:dyDescent="0.25">
      <c r="B4" s="9" t="s">
        <v>17</v>
      </c>
      <c r="C4" s="10"/>
      <c r="D4" s="10">
        <f>147308678.4+48942364.12</f>
        <v>196251042.52000001</v>
      </c>
      <c r="E4" s="11">
        <f>+D4</f>
        <v>196251042.52000001</v>
      </c>
      <c r="F4" s="11"/>
      <c r="G4" s="11"/>
      <c r="H4" s="11"/>
      <c r="I4" s="11">
        <v>1</v>
      </c>
      <c r="J4" s="11"/>
      <c r="K4" s="11"/>
      <c r="L4" s="11">
        <f>+D4</f>
        <v>196251042.52000001</v>
      </c>
      <c r="M4" s="12"/>
      <c r="N4" s="12"/>
      <c r="O4" s="2"/>
      <c r="P4" s="13"/>
      <c r="Q4" s="13"/>
      <c r="R4" s="14"/>
      <c r="S4" s="14"/>
      <c r="T4" s="3"/>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2:63" ht="12.95" hidden="1" customHeight="1" x14ac:dyDescent="0.25">
      <c r="B5" s="16">
        <v>42191</v>
      </c>
      <c r="C5" s="17" t="s">
        <v>18</v>
      </c>
      <c r="D5" s="16"/>
      <c r="E5" s="18">
        <v>48942364.119999997</v>
      </c>
      <c r="F5" s="18"/>
      <c r="G5" s="18">
        <v>48942364.119999997</v>
      </c>
      <c r="H5" s="18">
        <v>1012600.64</v>
      </c>
      <c r="I5" s="18">
        <v>4641086.25</v>
      </c>
      <c r="J5" s="18">
        <v>291122.68</v>
      </c>
      <c r="K5" s="18">
        <f t="shared" ref="K5:K11" si="0">+G5-H5-I5-J5</f>
        <v>42997554.549999997</v>
      </c>
      <c r="L5" s="19">
        <v>147308678.57999998</v>
      </c>
      <c r="M5" s="20"/>
      <c r="N5" s="20"/>
      <c r="O5" s="2"/>
      <c r="P5" s="13"/>
      <c r="Q5" s="13"/>
      <c r="R5" s="14"/>
      <c r="S5" s="14"/>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row>
    <row r="6" spans="2:63" ht="12.95" hidden="1" customHeight="1" x14ac:dyDescent="0.25">
      <c r="B6" s="16">
        <v>42261</v>
      </c>
      <c r="C6" s="17" t="s">
        <v>19</v>
      </c>
      <c r="D6" s="16"/>
      <c r="E6" s="18">
        <v>24471182.059999999</v>
      </c>
      <c r="F6" s="18">
        <v>0</v>
      </c>
      <c r="G6" s="18">
        <v>24471182.059999999</v>
      </c>
      <c r="H6" s="18">
        <v>506300.32</v>
      </c>
      <c r="I6" s="18">
        <v>2320543.13</v>
      </c>
      <c r="J6" s="18">
        <v>145561.34</v>
      </c>
      <c r="K6" s="18">
        <f t="shared" si="0"/>
        <v>21498777.27</v>
      </c>
      <c r="L6" s="19">
        <f t="shared" ref="L6:L11" si="1">+L5-G6</f>
        <v>122837496.51999998</v>
      </c>
      <c r="M6" s="20"/>
      <c r="N6" s="20"/>
      <c r="O6" s="2"/>
      <c r="P6" s="13"/>
      <c r="Q6" s="13"/>
      <c r="R6" s="14"/>
      <c r="S6" s="14"/>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row>
    <row r="7" spans="2:63" ht="12.95" hidden="1" customHeight="1" x14ac:dyDescent="0.25">
      <c r="B7" s="16">
        <v>42276</v>
      </c>
      <c r="C7" s="17" t="s">
        <v>20</v>
      </c>
      <c r="D7" s="16"/>
      <c r="E7" s="18">
        <v>48942364.119999997</v>
      </c>
      <c r="F7" s="18"/>
      <c r="G7" s="18">
        <v>48942364.119999997</v>
      </c>
      <c r="H7" s="18">
        <v>1012600.64</v>
      </c>
      <c r="I7" s="18">
        <v>4641086.25</v>
      </c>
      <c r="J7" s="18">
        <v>291122.68</v>
      </c>
      <c r="K7" s="18">
        <f t="shared" si="0"/>
        <v>42997554.549999997</v>
      </c>
      <c r="L7" s="19">
        <f t="shared" si="1"/>
        <v>73895132.399999976</v>
      </c>
      <c r="M7" s="20"/>
      <c r="N7" s="20"/>
      <c r="O7" s="2"/>
      <c r="P7" s="13"/>
      <c r="Q7" s="13"/>
      <c r="R7" s="14"/>
      <c r="S7" s="14"/>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row>
    <row r="8" spans="2:63" ht="12.95" hidden="1" customHeight="1" x14ac:dyDescent="0.25">
      <c r="B8" s="16">
        <v>42291</v>
      </c>
      <c r="C8" s="17" t="s">
        <v>21</v>
      </c>
      <c r="D8" s="16"/>
      <c r="E8" s="18">
        <v>24471182.059999999</v>
      </c>
      <c r="F8" s="18"/>
      <c r="G8" s="18">
        <v>24471182.059999999</v>
      </c>
      <c r="H8" s="18">
        <v>506300.32</v>
      </c>
      <c r="I8" s="18">
        <v>2320543.13</v>
      </c>
      <c r="J8" s="18">
        <v>145561.34</v>
      </c>
      <c r="K8" s="18">
        <f t="shared" si="0"/>
        <v>21498777.27</v>
      </c>
      <c r="L8" s="19">
        <f t="shared" si="1"/>
        <v>49423950.339999974</v>
      </c>
      <c r="M8" s="20"/>
      <c r="N8" s="20"/>
      <c r="O8" s="2"/>
      <c r="P8" s="13"/>
      <c r="Q8" s="13"/>
      <c r="R8" s="14"/>
      <c r="S8" s="14"/>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row>
    <row r="9" spans="2:63" ht="12.95" hidden="1" customHeight="1" x14ac:dyDescent="0.25">
      <c r="B9" s="16">
        <v>42291</v>
      </c>
      <c r="C9" s="17" t="s">
        <v>22</v>
      </c>
      <c r="D9" s="16"/>
      <c r="E9" s="18">
        <v>24471182.059999999</v>
      </c>
      <c r="F9" s="18"/>
      <c r="G9" s="18">
        <v>24471182.059999999</v>
      </c>
      <c r="H9" s="18">
        <v>506300.32</v>
      </c>
      <c r="I9" s="18">
        <v>2320543.13</v>
      </c>
      <c r="J9" s="18">
        <v>145561.34</v>
      </c>
      <c r="K9" s="18">
        <f t="shared" si="0"/>
        <v>21498777.27</v>
      </c>
      <c r="L9" s="19">
        <f t="shared" si="1"/>
        <v>24952768.279999975</v>
      </c>
      <c r="M9" s="20"/>
      <c r="N9" s="20"/>
      <c r="O9" s="2"/>
      <c r="P9" s="13"/>
      <c r="Q9" s="13"/>
      <c r="R9" s="14"/>
      <c r="S9" s="14"/>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row>
    <row r="10" spans="2:63" ht="12.95" hidden="1" customHeight="1" x14ac:dyDescent="0.25">
      <c r="B10" s="16">
        <v>42515</v>
      </c>
      <c r="C10" s="17" t="s">
        <v>23</v>
      </c>
      <c r="D10" s="16"/>
      <c r="E10" s="18">
        <v>24471182.059999999</v>
      </c>
      <c r="F10" s="18"/>
      <c r="G10" s="18">
        <v>24471182.059999999</v>
      </c>
      <c r="H10" s="18">
        <v>506300.32</v>
      </c>
      <c r="I10" s="18">
        <v>2320543.13</v>
      </c>
      <c r="J10" s="18">
        <v>145561.34</v>
      </c>
      <c r="K10" s="18">
        <f t="shared" si="0"/>
        <v>21498777.27</v>
      </c>
      <c r="L10" s="19">
        <f t="shared" si="1"/>
        <v>481586.21999997646</v>
      </c>
      <c r="M10" s="20"/>
      <c r="N10" s="20"/>
      <c r="O10" s="2"/>
      <c r="P10" s="13"/>
      <c r="Q10" s="13"/>
      <c r="R10" s="14"/>
      <c r="S10" s="14"/>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row>
    <row r="11" spans="2:63" ht="12.95" hidden="1" customHeight="1" x14ac:dyDescent="0.25">
      <c r="B11" s="16">
        <v>42515</v>
      </c>
      <c r="C11" s="17" t="s">
        <v>24</v>
      </c>
      <c r="D11" s="16"/>
      <c r="E11" s="18">
        <v>481586.22</v>
      </c>
      <c r="F11" s="18"/>
      <c r="G11" s="18">
        <v>481586.22</v>
      </c>
      <c r="H11" s="18"/>
      <c r="I11" s="18"/>
      <c r="J11" s="18"/>
      <c r="K11" s="18">
        <f t="shared" si="0"/>
        <v>481586.22</v>
      </c>
      <c r="L11" s="19">
        <f t="shared" si="1"/>
        <v>-2.3515895009040833E-8</v>
      </c>
      <c r="M11" s="20"/>
      <c r="N11" s="20"/>
      <c r="O11" s="2"/>
      <c r="P11" s="13"/>
      <c r="Q11" s="13"/>
      <c r="R11" s="14"/>
      <c r="S11" s="14"/>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row>
    <row r="12" spans="2:63" s="15" customFormat="1" ht="15" hidden="1" x14ac:dyDescent="0.25">
      <c r="B12" s="9" t="s">
        <v>25</v>
      </c>
      <c r="C12" s="10"/>
      <c r="D12" s="10">
        <v>860042616</v>
      </c>
      <c r="E12" s="11">
        <f>+D12</f>
        <v>860042616</v>
      </c>
      <c r="F12" s="11"/>
      <c r="G12" s="11"/>
      <c r="H12" s="11"/>
      <c r="I12" s="11"/>
      <c r="J12" s="11"/>
      <c r="K12" s="11"/>
      <c r="L12" s="11">
        <f>+D12</f>
        <v>860042616</v>
      </c>
      <c r="M12" s="12"/>
      <c r="N12" s="12"/>
      <c r="O12" s="2"/>
      <c r="P12" s="13"/>
      <c r="Q12" s="13"/>
      <c r="R12" s="14"/>
      <c r="S12" s="14"/>
      <c r="T12" s="3"/>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row>
    <row r="13" spans="2:63" ht="12.95" hidden="1" customHeight="1" x14ac:dyDescent="0.25">
      <c r="B13" s="16">
        <v>41562</v>
      </c>
      <c r="C13" s="17" t="s">
        <v>26</v>
      </c>
      <c r="D13" s="16"/>
      <c r="E13" s="18">
        <v>71670218</v>
      </c>
      <c r="F13" s="18">
        <v>0</v>
      </c>
      <c r="G13" s="18">
        <f>+E13</f>
        <v>71670218</v>
      </c>
      <c r="H13" s="18">
        <v>0</v>
      </c>
      <c r="I13" s="18">
        <v>0</v>
      </c>
      <c r="J13" s="18">
        <v>0</v>
      </c>
      <c r="K13" s="18">
        <f>+G13</f>
        <v>71670218</v>
      </c>
      <c r="L13" s="19">
        <f>+L12-K13</f>
        <v>788372398</v>
      </c>
      <c r="M13" s="20"/>
      <c r="N13" s="20"/>
      <c r="O13" s="2"/>
      <c r="P13" s="13"/>
      <c r="Q13" s="13"/>
      <c r="R13" s="14"/>
      <c r="S13" s="14"/>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row>
    <row r="14" spans="2:63" ht="12.95" hidden="1" customHeight="1" x14ac:dyDescent="0.25">
      <c r="B14" s="16">
        <v>41579</v>
      </c>
      <c r="C14" s="17" t="s">
        <v>27</v>
      </c>
      <c r="D14" s="16"/>
      <c r="E14" s="18">
        <v>71670218</v>
      </c>
      <c r="F14" s="18">
        <v>0</v>
      </c>
      <c r="G14" s="18">
        <f>+E14</f>
        <v>71670218</v>
      </c>
      <c r="H14" s="18">
        <v>0</v>
      </c>
      <c r="I14" s="18">
        <v>0</v>
      </c>
      <c r="J14" s="18">
        <v>0</v>
      </c>
      <c r="K14" s="18">
        <f>+G14</f>
        <v>71670218</v>
      </c>
      <c r="L14" s="19">
        <f>+L13-K14</f>
        <v>716702180</v>
      </c>
      <c r="M14" s="20"/>
      <c r="N14" s="20"/>
      <c r="O14" s="2"/>
      <c r="P14" s="13"/>
      <c r="Q14" s="13"/>
      <c r="R14" s="14"/>
      <c r="S14" s="14"/>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row>
    <row r="15" spans="2:63" ht="12.95" hidden="1" customHeight="1" x14ac:dyDescent="0.25">
      <c r="B15" s="16">
        <v>41624</v>
      </c>
      <c r="C15" s="17" t="s">
        <v>28</v>
      </c>
      <c r="D15" s="16"/>
      <c r="E15" s="18">
        <v>430021308</v>
      </c>
      <c r="F15" s="18">
        <v>0</v>
      </c>
      <c r="G15" s="18">
        <v>430021308</v>
      </c>
      <c r="H15" s="18">
        <v>0</v>
      </c>
      <c r="I15" s="18">
        <v>0</v>
      </c>
      <c r="J15" s="18">
        <v>0</v>
      </c>
      <c r="K15" s="18">
        <f>+G15</f>
        <v>430021308</v>
      </c>
      <c r="L15" s="19">
        <f>+L14-K15</f>
        <v>286680872</v>
      </c>
      <c r="M15" s="20"/>
      <c r="N15" s="20"/>
      <c r="O15" s="2"/>
      <c r="P15" s="13"/>
      <c r="Q15" s="13"/>
      <c r="R15" s="14"/>
      <c r="S15" s="14"/>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row>
    <row r="16" spans="2:63" ht="12.95" hidden="1" customHeight="1" x14ac:dyDescent="0.25">
      <c r="B16" s="16">
        <v>41642</v>
      </c>
      <c r="C16" s="17" t="s">
        <v>29</v>
      </c>
      <c r="D16" s="16"/>
      <c r="E16" s="18">
        <v>143340436</v>
      </c>
      <c r="F16" s="18">
        <v>0</v>
      </c>
      <c r="G16" s="18">
        <v>143340436</v>
      </c>
      <c r="H16" s="18">
        <v>0</v>
      </c>
      <c r="I16" s="18">
        <v>0</v>
      </c>
      <c r="J16" s="18">
        <v>0</v>
      </c>
      <c r="K16" s="18">
        <v>143340436</v>
      </c>
      <c r="L16" s="19">
        <f>+L15-K16</f>
        <v>143340436</v>
      </c>
      <c r="M16" s="20"/>
      <c r="N16" s="20"/>
      <c r="O16" s="2"/>
      <c r="P16" s="13"/>
      <c r="Q16" s="13"/>
      <c r="R16" s="14"/>
      <c r="S16" s="14"/>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row>
    <row r="17" spans="2:63" ht="12.95" hidden="1" customHeight="1" x14ac:dyDescent="0.25">
      <c r="B17" s="16">
        <v>41753</v>
      </c>
      <c r="C17" s="17" t="s">
        <v>30</v>
      </c>
      <c r="D17" s="16"/>
      <c r="E17" s="18">
        <v>143340436</v>
      </c>
      <c r="F17" s="18">
        <v>0</v>
      </c>
      <c r="G17" s="18">
        <v>143340436</v>
      </c>
      <c r="H17" s="18">
        <v>0</v>
      </c>
      <c r="I17" s="18">
        <v>0</v>
      </c>
      <c r="J17" s="18">
        <v>0</v>
      </c>
      <c r="K17" s="18">
        <v>143340436</v>
      </c>
      <c r="L17" s="19">
        <f>+L16-K17</f>
        <v>0</v>
      </c>
      <c r="M17" s="20"/>
      <c r="N17" s="20"/>
      <c r="O17" s="2"/>
      <c r="P17" s="13"/>
      <c r="Q17" s="13"/>
      <c r="R17" s="14"/>
      <c r="S17" s="14"/>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row>
    <row r="18" spans="2:63" s="15" customFormat="1" ht="15" hidden="1" x14ac:dyDescent="0.25">
      <c r="B18" s="9" t="s">
        <v>31</v>
      </c>
      <c r="C18" s="10"/>
      <c r="D18" s="10">
        <v>372685135</v>
      </c>
      <c r="E18" s="11">
        <f>+D18</f>
        <v>372685135</v>
      </c>
      <c r="F18" s="11"/>
      <c r="G18" s="11"/>
      <c r="H18" s="11"/>
      <c r="I18" s="11"/>
      <c r="J18" s="11"/>
      <c r="K18" s="11"/>
      <c r="L18" s="11">
        <f>+D18</f>
        <v>372685135</v>
      </c>
      <c r="M18" s="12"/>
      <c r="N18" s="12"/>
      <c r="O18" s="2"/>
      <c r="P18" s="13"/>
      <c r="Q18" s="13"/>
      <c r="R18" s="14"/>
      <c r="S18" s="14"/>
      <c r="T18" s="3"/>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row>
    <row r="19" spans="2:63" ht="12.95" hidden="1" customHeight="1" x14ac:dyDescent="0.25">
      <c r="B19" s="16">
        <v>41821</v>
      </c>
      <c r="C19" s="17" t="s">
        <v>32</v>
      </c>
      <c r="D19" s="16"/>
      <c r="E19" s="18">
        <v>149074054</v>
      </c>
      <c r="F19" s="18">
        <v>0</v>
      </c>
      <c r="G19" s="18">
        <v>149074054</v>
      </c>
      <c r="H19" s="18">
        <v>0</v>
      </c>
      <c r="I19" s="18">
        <v>0</v>
      </c>
      <c r="J19" s="18">
        <v>0</v>
      </c>
      <c r="K19" s="18">
        <v>149074054</v>
      </c>
      <c r="L19" s="19">
        <f>+L18-K19</f>
        <v>223611081</v>
      </c>
      <c r="M19" s="20"/>
      <c r="N19" s="20"/>
      <c r="O19" s="2"/>
      <c r="P19" s="13"/>
      <c r="Q19" s="13"/>
      <c r="R19" s="14"/>
      <c r="S19" s="14"/>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row>
    <row r="20" spans="2:63" ht="12.95" hidden="1" customHeight="1" x14ac:dyDescent="0.25">
      <c r="B20" s="16">
        <v>41842</v>
      </c>
      <c r="C20" s="17" t="s">
        <v>33</v>
      </c>
      <c r="D20" s="16"/>
      <c r="E20" s="18">
        <v>74537027</v>
      </c>
      <c r="F20" s="18">
        <v>0</v>
      </c>
      <c r="G20" s="18">
        <v>74537027</v>
      </c>
      <c r="H20" s="18">
        <v>0</v>
      </c>
      <c r="I20" s="18">
        <v>0</v>
      </c>
      <c r="J20" s="18">
        <v>0</v>
      </c>
      <c r="K20" s="18">
        <v>74537027</v>
      </c>
      <c r="L20" s="19">
        <f>+L19-K20</f>
        <v>149074054</v>
      </c>
      <c r="M20" s="20"/>
      <c r="N20" s="20"/>
      <c r="O20" s="2"/>
      <c r="P20" s="13"/>
      <c r="Q20" s="13"/>
      <c r="R20" s="14"/>
      <c r="S20" s="14"/>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row>
    <row r="21" spans="2:63" ht="12.95" hidden="1" customHeight="1" x14ac:dyDescent="0.25">
      <c r="B21" s="16">
        <v>41843</v>
      </c>
      <c r="C21" s="17" t="s">
        <v>34</v>
      </c>
      <c r="D21" s="16"/>
      <c r="E21" s="18">
        <v>74537027</v>
      </c>
      <c r="F21" s="18">
        <v>0</v>
      </c>
      <c r="G21" s="18">
        <v>74537027</v>
      </c>
      <c r="H21" s="18">
        <v>0</v>
      </c>
      <c r="I21" s="18">
        <v>0</v>
      </c>
      <c r="J21" s="18">
        <v>0</v>
      </c>
      <c r="K21" s="18">
        <v>74537027</v>
      </c>
      <c r="L21" s="19">
        <f>+L20-K21</f>
        <v>74537027</v>
      </c>
      <c r="M21" s="20"/>
      <c r="N21" s="20"/>
      <c r="O21" s="2"/>
      <c r="P21" s="13"/>
      <c r="Q21" s="13"/>
      <c r="R21" s="14"/>
      <c r="S21" s="14"/>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row>
    <row r="22" spans="2:63" ht="12.95" hidden="1" customHeight="1" x14ac:dyDescent="0.25">
      <c r="B22" s="16">
        <v>41843</v>
      </c>
      <c r="C22" s="17" t="s">
        <v>35</v>
      </c>
      <c r="D22" s="16"/>
      <c r="E22" s="18">
        <v>74537027</v>
      </c>
      <c r="F22" s="18">
        <v>0</v>
      </c>
      <c r="G22" s="18">
        <v>74537027</v>
      </c>
      <c r="H22" s="18">
        <v>0</v>
      </c>
      <c r="I22" s="18">
        <v>0</v>
      </c>
      <c r="J22" s="18">
        <v>0</v>
      </c>
      <c r="K22" s="18">
        <v>74537027</v>
      </c>
      <c r="L22" s="19">
        <f>+L21-K22</f>
        <v>0</v>
      </c>
      <c r="M22" s="20"/>
      <c r="N22" s="20"/>
      <c r="O22" s="2"/>
      <c r="P22" s="13"/>
      <c r="Q22" s="13"/>
      <c r="R22" s="14"/>
      <c r="S22" s="14"/>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row>
    <row r="23" spans="2:63" s="15" customFormat="1" ht="15" hidden="1" x14ac:dyDescent="0.25">
      <c r="B23" s="9" t="s">
        <v>36</v>
      </c>
      <c r="C23" s="10"/>
      <c r="D23" s="10">
        <f>310074032.32+154530164.38+77265082.19</f>
        <v>541869278.88999999</v>
      </c>
      <c r="E23" s="11">
        <f>+D23</f>
        <v>541869278.88999999</v>
      </c>
      <c r="F23" s="11"/>
      <c r="G23" s="11"/>
      <c r="H23" s="11"/>
      <c r="I23" s="11"/>
      <c r="J23" s="11"/>
      <c r="K23" s="11"/>
      <c r="L23" s="11">
        <f>+D23</f>
        <v>541869278.88999999</v>
      </c>
      <c r="M23" s="12"/>
      <c r="N23" s="12"/>
      <c r="O23" s="2"/>
      <c r="P23" s="13"/>
      <c r="Q23" s="13"/>
      <c r="R23" s="14"/>
      <c r="S23" s="14"/>
      <c r="T23" s="3"/>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row>
    <row r="24" spans="2:63" ht="12.95" hidden="1" customHeight="1" x14ac:dyDescent="0.25">
      <c r="B24" s="16">
        <v>41942</v>
      </c>
      <c r="C24" s="17" t="s">
        <v>37</v>
      </c>
      <c r="D24" s="16"/>
      <c r="E24" s="18">
        <v>74537027</v>
      </c>
      <c r="F24" s="18">
        <v>0</v>
      </c>
      <c r="G24" s="18">
        <v>74537027</v>
      </c>
      <c r="H24" s="18">
        <v>0</v>
      </c>
      <c r="I24" s="18">
        <v>0</v>
      </c>
      <c r="J24" s="18">
        <v>0</v>
      </c>
      <c r="K24" s="18">
        <v>74537027</v>
      </c>
      <c r="L24" s="19">
        <f t="shared" ref="L24:L29" si="2">+L23-K24</f>
        <v>467332251.88999999</v>
      </c>
      <c r="M24" s="20"/>
      <c r="N24" s="20"/>
      <c r="O24" s="2"/>
      <c r="P24" s="13"/>
      <c r="Q24" s="13"/>
      <c r="R24" s="14"/>
      <c r="S24" s="14"/>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row>
    <row r="25" spans="2:63" ht="12.95" hidden="1" customHeight="1" x14ac:dyDescent="0.25">
      <c r="B25" s="16">
        <v>41997</v>
      </c>
      <c r="C25" s="17" t="s">
        <v>38</v>
      </c>
      <c r="D25" s="16"/>
      <c r="E25" s="18">
        <v>74537027</v>
      </c>
      <c r="F25" s="18">
        <v>0</v>
      </c>
      <c r="G25" s="18">
        <v>74537027</v>
      </c>
      <c r="H25" s="18">
        <v>0</v>
      </c>
      <c r="I25" s="18">
        <v>0</v>
      </c>
      <c r="J25" s="18">
        <v>0</v>
      </c>
      <c r="K25" s="18">
        <v>74537027</v>
      </c>
      <c r="L25" s="19">
        <f t="shared" si="2"/>
        <v>392795224.88999999</v>
      </c>
      <c r="M25" s="20"/>
      <c r="N25" s="20"/>
      <c r="O25" s="2"/>
      <c r="P25" s="13"/>
      <c r="Q25" s="13"/>
      <c r="R25" s="14"/>
      <c r="S25" s="14"/>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row>
    <row r="26" spans="2:63" ht="12.95" hidden="1" customHeight="1" x14ac:dyDescent="0.25">
      <c r="B26" s="16">
        <v>42003</v>
      </c>
      <c r="C26" s="17" t="s">
        <v>39</v>
      </c>
      <c r="D26" s="16"/>
      <c r="E26" s="18">
        <v>74537027</v>
      </c>
      <c r="F26" s="18">
        <v>0</v>
      </c>
      <c r="G26" s="18">
        <v>74537027</v>
      </c>
      <c r="H26" s="18">
        <v>0</v>
      </c>
      <c r="I26" s="18">
        <v>0</v>
      </c>
      <c r="J26" s="18">
        <v>0</v>
      </c>
      <c r="K26" s="18">
        <v>74537027</v>
      </c>
      <c r="L26" s="19">
        <f t="shared" si="2"/>
        <v>318258197.88999999</v>
      </c>
      <c r="M26" s="20"/>
      <c r="N26" s="20"/>
      <c r="O26" s="2"/>
      <c r="P26" s="13"/>
      <c r="Q26" s="13"/>
      <c r="R26" s="14"/>
      <c r="S26" s="14"/>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row>
    <row r="27" spans="2:63" ht="12.95" hidden="1" customHeight="1" x14ac:dyDescent="0.25">
      <c r="B27" s="16">
        <v>42003</v>
      </c>
      <c r="C27" s="17" t="s">
        <v>40</v>
      </c>
      <c r="D27" s="16"/>
      <c r="E27" s="18">
        <v>74537027</v>
      </c>
      <c r="F27" s="18">
        <v>0</v>
      </c>
      <c r="G27" s="18">
        <v>74537027</v>
      </c>
      <c r="H27" s="18">
        <v>0</v>
      </c>
      <c r="I27" s="18">
        <v>0</v>
      </c>
      <c r="J27" s="18">
        <v>0</v>
      </c>
      <c r="K27" s="18">
        <v>74537027</v>
      </c>
      <c r="L27" s="19">
        <f t="shared" si="2"/>
        <v>243721170.88999999</v>
      </c>
      <c r="M27" s="20"/>
      <c r="N27" s="20"/>
      <c r="O27" s="2"/>
      <c r="P27" s="13"/>
      <c r="Q27" s="13"/>
      <c r="R27" s="14"/>
      <c r="S27" s="14"/>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row>
    <row r="28" spans="2:63" ht="12.95" hidden="1" customHeight="1" x14ac:dyDescent="0.25">
      <c r="B28" s="16">
        <v>42114</v>
      </c>
      <c r="C28" s="17" t="s">
        <v>41</v>
      </c>
      <c r="D28" s="16"/>
      <c r="E28" s="18">
        <v>74537027</v>
      </c>
      <c r="F28" s="18">
        <v>0</v>
      </c>
      <c r="G28" s="18">
        <v>74537027</v>
      </c>
      <c r="H28" s="18">
        <v>0</v>
      </c>
      <c r="I28" s="18">
        <v>0</v>
      </c>
      <c r="J28" s="18">
        <v>0</v>
      </c>
      <c r="K28" s="18">
        <v>74537027</v>
      </c>
      <c r="L28" s="19">
        <f t="shared" si="2"/>
        <v>169184143.88999999</v>
      </c>
      <c r="M28" s="20"/>
      <c r="N28" s="20"/>
      <c r="O28" s="2"/>
      <c r="P28" s="13"/>
      <c r="Q28" s="13"/>
      <c r="R28" s="14"/>
      <c r="S28" s="14"/>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row>
    <row r="29" spans="2:63" ht="12.95" hidden="1" customHeight="1" x14ac:dyDescent="0.25">
      <c r="B29" s="16">
        <v>42132</v>
      </c>
      <c r="C29" s="17" t="s">
        <v>42</v>
      </c>
      <c r="D29" s="16"/>
      <c r="E29" s="18">
        <v>74537027</v>
      </c>
      <c r="F29" s="18">
        <v>0</v>
      </c>
      <c r="G29" s="18">
        <v>74537027</v>
      </c>
      <c r="H29" s="18">
        <v>0</v>
      </c>
      <c r="I29" s="18">
        <v>0</v>
      </c>
      <c r="J29" s="18">
        <v>0</v>
      </c>
      <c r="K29" s="18">
        <v>74537027</v>
      </c>
      <c r="L29" s="19">
        <f t="shared" si="2"/>
        <v>94647116.889999986</v>
      </c>
      <c r="M29" s="20"/>
      <c r="N29" s="20"/>
      <c r="O29" s="2"/>
      <c r="P29" s="13"/>
      <c r="Q29" s="13"/>
      <c r="R29" s="14"/>
      <c r="S29" s="14"/>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row>
    <row r="30" spans="2:63" ht="12.95" hidden="1" customHeight="1" x14ac:dyDescent="0.25">
      <c r="B30" s="16">
        <v>42132</v>
      </c>
      <c r="C30" s="17" t="s">
        <v>43</v>
      </c>
      <c r="D30" s="18">
        <v>310074032.31999999</v>
      </c>
      <c r="E30" s="18">
        <v>74537027</v>
      </c>
      <c r="F30" s="18">
        <v>0</v>
      </c>
      <c r="G30" s="18">
        <v>74537027</v>
      </c>
      <c r="H30" s="18">
        <v>0</v>
      </c>
      <c r="I30" s="18">
        <v>0</v>
      </c>
      <c r="J30" s="18">
        <v>0</v>
      </c>
      <c r="K30" s="18">
        <v>74537027</v>
      </c>
      <c r="L30" s="19">
        <f>+D30</f>
        <v>310074032.31999999</v>
      </c>
      <c r="M30" s="20"/>
      <c r="N30" s="20"/>
      <c r="O30" s="2"/>
      <c r="P30" s="13"/>
      <c r="Q30" s="13"/>
      <c r="R30" s="14"/>
      <c r="S30" s="14"/>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row>
    <row r="31" spans="2:63" ht="12.95" hidden="1" customHeight="1" x14ac:dyDescent="0.25">
      <c r="B31" s="16">
        <v>42198</v>
      </c>
      <c r="C31" s="17" t="s">
        <v>44</v>
      </c>
      <c r="D31" s="16"/>
      <c r="E31" s="18">
        <v>77265082.189999998</v>
      </c>
      <c r="F31" s="18">
        <v>0</v>
      </c>
      <c r="G31" s="18">
        <v>77265082.189999998</v>
      </c>
      <c r="H31" s="18">
        <v>0</v>
      </c>
      <c r="I31" s="18">
        <v>0</v>
      </c>
      <c r="J31" s="18">
        <v>0</v>
      </c>
      <c r="K31" s="18">
        <v>77265082.189999998</v>
      </c>
      <c r="L31" s="19">
        <f>+L30-K31</f>
        <v>232808950.13</v>
      </c>
      <c r="M31" s="20"/>
      <c r="N31" s="20"/>
      <c r="O31" s="2"/>
      <c r="P31" s="13"/>
      <c r="Q31" s="13"/>
      <c r="R31" s="14"/>
      <c r="S31" s="14"/>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row>
    <row r="32" spans="2:63" ht="12.95" hidden="1" customHeight="1" x14ac:dyDescent="0.25">
      <c r="B32" s="16">
        <v>42202</v>
      </c>
      <c r="C32" s="17" t="s">
        <v>45</v>
      </c>
      <c r="D32" s="16"/>
      <c r="E32" s="18">
        <v>77265082.189999998</v>
      </c>
      <c r="F32" s="18">
        <v>0</v>
      </c>
      <c r="G32" s="18">
        <v>77265082.189999998</v>
      </c>
      <c r="H32" s="18">
        <v>0</v>
      </c>
      <c r="I32" s="18">
        <v>0</v>
      </c>
      <c r="J32" s="18">
        <v>0</v>
      </c>
      <c r="K32" s="18">
        <v>77265082.189999998</v>
      </c>
      <c r="L32" s="19">
        <f>+L31-K32</f>
        <v>155543867.94</v>
      </c>
      <c r="M32" s="20"/>
      <c r="N32" s="20"/>
      <c r="O32" s="2"/>
      <c r="P32" s="13"/>
      <c r="Q32" s="13"/>
      <c r="R32" s="14"/>
      <c r="S32" s="14"/>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row>
    <row r="33" spans="2:63" ht="12.95" hidden="1" customHeight="1" x14ac:dyDescent="0.25">
      <c r="B33" s="16">
        <v>42255</v>
      </c>
      <c r="C33" s="17" t="s">
        <v>46</v>
      </c>
      <c r="D33" s="16"/>
      <c r="E33" s="18">
        <v>77265082.189999998</v>
      </c>
      <c r="F33" s="18">
        <v>0</v>
      </c>
      <c r="G33" s="18">
        <v>77265082.189999998</v>
      </c>
      <c r="H33" s="18">
        <v>0</v>
      </c>
      <c r="I33" s="18">
        <v>0</v>
      </c>
      <c r="J33" s="18">
        <v>0</v>
      </c>
      <c r="K33" s="18">
        <v>77265082.189999998</v>
      </c>
      <c r="L33" s="19">
        <f>+L32-K33</f>
        <v>78278785.75</v>
      </c>
      <c r="M33" s="20"/>
      <c r="N33" s="20"/>
      <c r="O33" s="2"/>
      <c r="P33" s="13"/>
      <c r="Q33" s="13"/>
      <c r="R33" s="14"/>
      <c r="S33" s="14"/>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row>
    <row r="34" spans="2:63" ht="12.95" hidden="1" customHeight="1" x14ac:dyDescent="0.25">
      <c r="B34" s="16">
        <v>42255</v>
      </c>
      <c r="C34" s="17" t="s">
        <v>47</v>
      </c>
      <c r="D34" s="18">
        <v>154530164.38</v>
      </c>
      <c r="E34" s="18">
        <v>77265082.189999998</v>
      </c>
      <c r="F34" s="18">
        <v>0</v>
      </c>
      <c r="G34" s="18">
        <v>77265082.189999998</v>
      </c>
      <c r="H34" s="18">
        <v>0</v>
      </c>
      <c r="I34" s="18">
        <v>0</v>
      </c>
      <c r="J34" s="18">
        <v>0</v>
      </c>
      <c r="K34" s="18">
        <v>77265082.189999998</v>
      </c>
      <c r="L34" s="19">
        <f>+L33-K34</f>
        <v>1013703.5600000024</v>
      </c>
      <c r="M34" s="20"/>
      <c r="N34" s="20"/>
      <c r="O34" s="2"/>
      <c r="P34" s="13"/>
      <c r="Q34" s="13"/>
      <c r="R34" s="14"/>
      <c r="S34" s="14"/>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row>
    <row r="35" spans="2:63" s="31" customFormat="1" ht="15" hidden="1" x14ac:dyDescent="0.25">
      <c r="B35" s="16">
        <v>42255</v>
      </c>
      <c r="C35" s="22" t="s">
        <v>48</v>
      </c>
      <c r="D35" s="23"/>
      <c r="E35" s="24">
        <v>1013703.56</v>
      </c>
      <c r="F35" s="25">
        <v>0</v>
      </c>
      <c r="G35" s="24">
        <v>1013703.56</v>
      </c>
      <c r="H35" s="25">
        <v>0</v>
      </c>
      <c r="I35" s="25">
        <v>0</v>
      </c>
      <c r="J35" s="25">
        <v>0</v>
      </c>
      <c r="K35" s="25">
        <v>1013703.56</v>
      </c>
      <c r="L35" s="25">
        <f>+L34-K35</f>
        <v>2.3283064365386963E-9</v>
      </c>
      <c r="M35" s="26"/>
      <c r="N35" s="26"/>
      <c r="O35" s="27"/>
      <c r="P35" s="28"/>
      <c r="Q35" s="28"/>
      <c r="R35" s="29"/>
      <c r="S35" s="29"/>
      <c r="T35" s="30"/>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row>
    <row r="36" spans="2:63" ht="12.95" hidden="1" customHeight="1" x14ac:dyDescent="0.25">
      <c r="B36" s="9" t="s">
        <v>49</v>
      </c>
      <c r="C36" s="10"/>
      <c r="D36" s="10">
        <v>3500000000</v>
      </c>
      <c r="E36" s="11">
        <f>+D36</f>
        <v>3500000000</v>
      </c>
      <c r="F36" s="11"/>
      <c r="G36" s="11"/>
      <c r="H36" s="11"/>
      <c r="I36" s="11"/>
      <c r="J36" s="11"/>
      <c r="K36" s="11"/>
      <c r="L36" s="11">
        <f>+D36</f>
        <v>3500000000</v>
      </c>
      <c r="M36" s="12"/>
      <c r="N36" s="12"/>
      <c r="O36" s="2"/>
      <c r="P36" s="13"/>
      <c r="Q36" s="13"/>
      <c r="R36" s="14"/>
      <c r="S36" s="14"/>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row>
    <row r="37" spans="2:63" ht="12.95" hidden="1" customHeight="1" x14ac:dyDescent="0.25">
      <c r="B37" s="32">
        <v>41648</v>
      </c>
      <c r="C37" s="33" t="s">
        <v>50</v>
      </c>
      <c r="D37" s="34"/>
      <c r="E37" s="18">
        <v>50000000</v>
      </c>
      <c r="F37" s="18">
        <v>0</v>
      </c>
      <c r="G37" s="18">
        <v>50000000</v>
      </c>
      <c r="H37" s="18">
        <v>0</v>
      </c>
      <c r="I37" s="18">
        <v>416379.31</v>
      </c>
      <c r="J37" s="18">
        <v>0</v>
      </c>
      <c r="K37" s="18">
        <f>+G37-I37-J37</f>
        <v>49583620.689999998</v>
      </c>
      <c r="L37" s="19">
        <f>+L36-G37</f>
        <v>3450000000</v>
      </c>
      <c r="M37" s="20"/>
      <c r="N37" s="20"/>
      <c r="O37" s="2"/>
      <c r="P37" s="13"/>
      <c r="Q37" s="13"/>
      <c r="R37" s="14"/>
      <c r="S37" s="14"/>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row>
    <row r="38" spans="2:63" ht="12.95" hidden="1" customHeight="1" x14ac:dyDescent="0.25">
      <c r="B38" s="32">
        <v>42155</v>
      </c>
      <c r="C38" s="33" t="s">
        <v>50</v>
      </c>
      <c r="D38" s="34"/>
      <c r="E38" s="18">
        <v>3450000000</v>
      </c>
      <c r="F38" s="18">
        <v>0</v>
      </c>
      <c r="G38" s="18">
        <f>+E38</f>
        <v>3450000000</v>
      </c>
      <c r="H38" s="18">
        <v>0</v>
      </c>
      <c r="I38" s="18"/>
      <c r="J38" s="18">
        <v>0</v>
      </c>
      <c r="K38" s="18">
        <f>+G38-I38-J38</f>
        <v>3450000000</v>
      </c>
      <c r="L38" s="19">
        <f>+L37-G38</f>
        <v>0</v>
      </c>
      <c r="M38" s="20"/>
      <c r="N38" s="20"/>
      <c r="O38" s="2"/>
      <c r="P38" s="13"/>
      <c r="Q38" s="13"/>
      <c r="R38" s="14"/>
      <c r="S38" s="14"/>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row>
    <row r="39" spans="2:63" ht="12.95" hidden="1" customHeight="1" x14ac:dyDescent="0.25">
      <c r="B39" s="9" t="s">
        <v>51</v>
      </c>
      <c r="C39" s="10"/>
      <c r="D39" s="10">
        <v>445000000</v>
      </c>
      <c r="E39" s="11">
        <f>+D39</f>
        <v>445000000</v>
      </c>
      <c r="F39" s="11"/>
      <c r="G39" s="11"/>
      <c r="H39" s="11"/>
      <c r="I39" s="11"/>
      <c r="J39" s="11"/>
      <c r="K39" s="11"/>
      <c r="L39" s="11">
        <f>+D39</f>
        <v>445000000</v>
      </c>
      <c r="M39" s="12"/>
      <c r="N39" s="12"/>
      <c r="O39" s="2"/>
      <c r="P39" s="13"/>
      <c r="Q39" s="13"/>
      <c r="R39" s="14"/>
      <c r="S39" s="14"/>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row>
    <row r="40" spans="2:63" ht="12.95" hidden="1" customHeight="1" x14ac:dyDescent="0.25">
      <c r="B40" s="32">
        <v>41801</v>
      </c>
      <c r="C40" s="33" t="s">
        <v>52</v>
      </c>
      <c r="D40" s="34"/>
      <c r="E40" s="18">
        <v>89000000</v>
      </c>
      <c r="F40" s="18">
        <v>0</v>
      </c>
      <c r="G40" s="18">
        <f>+E40+F40</f>
        <v>89000000</v>
      </c>
      <c r="H40" s="18">
        <v>0</v>
      </c>
      <c r="I40" s="18">
        <v>0</v>
      </c>
      <c r="J40" s="18">
        <v>0</v>
      </c>
      <c r="K40" s="18">
        <f>+G40-H40-J40-I40</f>
        <v>89000000</v>
      </c>
      <c r="L40" s="19">
        <f>+L39-K40</f>
        <v>356000000</v>
      </c>
      <c r="M40" s="20"/>
      <c r="N40" s="20"/>
      <c r="O40" s="2"/>
      <c r="P40" s="13"/>
      <c r="Q40" s="13"/>
      <c r="R40" s="14"/>
      <c r="S40" s="14"/>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row>
    <row r="41" spans="2:63" ht="12.95" hidden="1" customHeight="1" x14ac:dyDescent="0.25">
      <c r="B41" s="35">
        <v>41919</v>
      </c>
      <c r="C41" s="17" t="s">
        <v>53</v>
      </c>
      <c r="D41" s="34"/>
      <c r="E41" s="18">
        <v>133500000</v>
      </c>
      <c r="F41" s="18">
        <v>0</v>
      </c>
      <c r="G41" s="18">
        <v>133500000</v>
      </c>
      <c r="H41" s="18">
        <v>0</v>
      </c>
      <c r="I41" s="18">
        <v>0</v>
      </c>
      <c r="J41" s="18">
        <v>0</v>
      </c>
      <c r="K41" s="18">
        <f>+G41-H41-J41-I41</f>
        <v>133500000</v>
      </c>
      <c r="L41" s="19">
        <f>+L40-K41</f>
        <v>222500000</v>
      </c>
      <c r="M41" s="20"/>
      <c r="N41" s="20"/>
      <c r="O41" s="2"/>
      <c r="P41" s="13"/>
      <c r="Q41" s="13"/>
      <c r="R41" s="14"/>
      <c r="S41" s="14"/>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row>
    <row r="42" spans="2:63" ht="12.95" hidden="1" customHeight="1" x14ac:dyDescent="0.25">
      <c r="B42" s="16">
        <v>42002</v>
      </c>
      <c r="C42" s="17" t="s">
        <v>54</v>
      </c>
      <c r="D42" s="34"/>
      <c r="E42" s="18">
        <v>133500000</v>
      </c>
      <c r="F42" s="18">
        <v>0</v>
      </c>
      <c r="G42" s="18">
        <v>133500000</v>
      </c>
      <c r="H42" s="18">
        <v>0</v>
      </c>
      <c r="I42" s="18">
        <v>0</v>
      </c>
      <c r="J42" s="18">
        <v>0</v>
      </c>
      <c r="K42" s="18">
        <f>+G42-H42-J42-I42</f>
        <v>133500000</v>
      </c>
      <c r="L42" s="19">
        <f>+L41-K42</f>
        <v>89000000</v>
      </c>
      <c r="M42" s="20"/>
      <c r="N42" s="20"/>
      <c r="O42" s="2"/>
      <c r="P42" s="13"/>
      <c r="Q42" s="13"/>
      <c r="R42" s="14"/>
      <c r="S42" s="14"/>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row>
    <row r="43" spans="2:63" ht="12.95" hidden="1" customHeight="1" x14ac:dyDescent="0.25">
      <c r="B43" s="16">
        <v>42265</v>
      </c>
      <c r="C43" s="17" t="s">
        <v>55</v>
      </c>
      <c r="D43" s="34"/>
      <c r="E43" s="18">
        <v>59000000</v>
      </c>
      <c r="F43" s="18">
        <v>0</v>
      </c>
      <c r="G43" s="18">
        <v>59000000</v>
      </c>
      <c r="H43" s="18">
        <v>0</v>
      </c>
      <c r="I43" s="18">
        <v>0</v>
      </c>
      <c r="J43" s="18">
        <v>0</v>
      </c>
      <c r="K43" s="18">
        <f>+G43-H43-J43-I43</f>
        <v>59000000</v>
      </c>
      <c r="L43" s="19">
        <f>+L42-K43</f>
        <v>30000000</v>
      </c>
      <c r="M43" s="20"/>
      <c r="N43" s="20"/>
      <c r="O43" s="2"/>
      <c r="P43" s="13"/>
      <c r="Q43" s="13"/>
      <c r="R43" s="14"/>
      <c r="S43" s="14"/>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row>
    <row r="44" spans="2:63" ht="12.95" hidden="1" customHeight="1" x14ac:dyDescent="0.25">
      <c r="B44" s="16">
        <v>42265</v>
      </c>
      <c r="C44" s="17" t="s">
        <v>24</v>
      </c>
      <c r="D44" s="34"/>
      <c r="E44" s="18">
        <v>30000000</v>
      </c>
      <c r="F44" s="18">
        <v>0</v>
      </c>
      <c r="G44" s="18">
        <f>+E44</f>
        <v>30000000</v>
      </c>
      <c r="H44" s="18">
        <v>0</v>
      </c>
      <c r="I44" s="18">
        <v>0</v>
      </c>
      <c r="J44" s="18">
        <v>0</v>
      </c>
      <c r="K44" s="18">
        <f>+G44-H44-J44-I44</f>
        <v>30000000</v>
      </c>
      <c r="L44" s="19">
        <f>+L43-K44</f>
        <v>0</v>
      </c>
      <c r="M44" s="20"/>
      <c r="N44" s="20"/>
      <c r="O44" s="2"/>
      <c r="P44" s="13"/>
      <c r="Q44" s="13"/>
      <c r="R44" s="14"/>
      <c r="S44" s="14"/>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row>
    <row r="45" spans="2:63" ht="12.95" hidden="1" customHeight="1" x14ac:dyDescent="0.25">
      <c r="B45" s="9" t="s">
        <v>56</v>
      </c>
      <c r="C45" s="10"/>
      <c r="D45" s="10">
        <v>223000000</v>
      </c>
      <c r="E45" s="11">
        <f>+D45</f>
        <v>223000000</v>
      </c>
      <c r="F45" s="11"/>
      <c r="G45" s="11"/>
      <c r="H45" s="11"/>
      <c r="I45" s="11"/>
      <c r="J45" s="11"/>
      <c r="K45" s="11"/>
      <c r="L45" s="11">
        <f>+D45</f>
        <v>223000000</v>
      </c>
      <c r="M45" s="12"/>
      <c r="N45" s="12"/>
      <c r="O45" s="2"/>
      <c r="P45" s="13"/>
      <c r="Q45" s="13"/>
      <c r="R45" s="14"/>
      <c r="S45" s="14"/>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row>
    <row r="46" spans="2:63" ht="12.95" hidden="1" customHeight="1" x14ac:dyDescent="0.25">
      <c r="B46" s="16">
        <v>42003</v>
      </c>
      <c r="C46" s="17" t="s">
        <v>57</v>
      </c>
      <c r="D46" s="34"/>
      <c r="E46" s="18">
        <v>40538161.799999997</v>
      </c>
      <c r="F46" s="18">
        <v>0</v>
      </c>
      <c r="G46" s="18">
        <f>+E46</f>
        <v>40538161.799999997</v>
      </c>
      <c r="H46" s="18">
        <v>0</v>
      </c>
      <c r="I46" s="18">
        <v>0</v>
      </c>
      <c r="J46" s="18">
        <v>0</v>
      </c>
      <c r="K46" s="18">
        <f>+G46-I46-J46</f>
        <v>40538161.799999997</v>
      </c>
      <c r="L46" s="19">
        <f>+L45-G46</f>
        <v>182461838.19999999</v>
      </c>
      <c r="M46" s="20"/>
      <c r="N46" s="20"/>
      <c r="O46" s="2"/>
      <c r="P46" s="13"/>
      <c r="Q46" s="13"/>
      <c r="R46" s="14"/>
      <c r="S46" s="14"/>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row>
    <row r="47" spans="2:63" ht="12.95" hidden="1" customHeight="1" x14ac:dyDescent="0.25">
      <c r="B47" s="16">
        <v>42025</v>
      </c>
      <c r="C47" s="17" t="s">
        <v>58</v>
      </c>
      <c r="D47" s="16"/>
      <c r="E47" s="18">
        <v>23944256</v>
      </c>
      <c r="F47" s="18">
        <v>0</v>
      </c>
      <c r="G47" s="18">
        <f>+E47</f>
        <v>23944256</v>
      </c>
      <c r="H47" s="18">
        <v>0</v>
      </c>
      <c r="I47" s="18">
        <v>0</v>
      </c>
      <c r="J47" s="18">
        <v>0</v>
      </c>
      <c r="K47" s="18">
        <f>+G47-I47-J47</f>
        <v>23944256</v>
      </c>
      <c r="L47" s="19">
        <f>+L46-G47</f>
        <v>158517582.19999999</v>
      </c>
      <c r="M47" s="20"/>
      <c r="N47" s="20"/>
      <c r="O47" s="2"/>
      <c r="P47" s="13"/>
      <c r="Q47" s="13"/>
      <c r="R47" s="14"/>
      <c r="S47" s="14"/>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row>
    <row r="48" spans="2:63" ht="12.95" hidden="1" customHeight="1" x14ac:dyDescent="0.25">
      <c r="B48" s="16">
        <v>42039</v>
      </c>
      <c r="C48" s="17" t="s">
        <v>59</v>
      </c>
      <c r="D48" s="16"/>
      <c r="E48" s="18">
        <v>31100169</v>
      </c>
      <c r="F48" s="18">
        <v>0</v>
      </c>
      <c r="G48" s="18">
        <f>+E48</f>
        <v>31100169</v>
      </c>
      <c r="H48" s="18">
        <v>0</v>
      </c>
      <c r="I48" s="18">
        <v>0</v>
      </c>
      <c r="J48" s="18">
        <v>0</v>
      </c>
      <c r="K48" s="18">
        <f>+G48-I48-J48</f>
        <v>31100169</v>
      </c>
      <c r="L48" s="19">
        <f>+L47-G48</f>
        <v>127417413.19999999</v>
      </c>
      <c r="M48" s="20"/>
      <c r="N48" s="20"/>
      <c r="O48" s="2"/>
      <c r="P48" s="13"/>
      <c r="Q48" s="13"/>
      <c r="R48" s="14"/>
      <c r="S48" s="14"/>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row>
    <row r="49" spans="2:63" ht="12.95" hidden="1" customHeight="1" x14ac:dyDescent="0.25">
      <c r="B49" s="16">
        <v>42265</v>
      </c>
      <c r="C49" s="17" t="s">
        <v>60</v>
      </c>
      <c r="D49" s="16"/>
      <c r="E49" s="18">
        <v>126107257</v>
      </c>
      <c r="F49" s="18">
        <v>0</v>
      </c>
      <c r="G49" s="18">
        <v>126107257</v>
      </c>
      <c r="H49" s="18">
        <v>0</v>
      </c>
      <c r="I49" s="18">
        <v>0</v>
      </c>
      <c r="J49" s="18">
        <v>0</v>
      </c>
      <c r="K49" s="18">
        <f>+G49-I49-J49</f>
        <v>126107257</v>
      </c>
      <c r="L49" s="19">
        <f>+L48-G49</f>
        <v>1310156.1999999881</v>
      </c>
      <c r="M49" s="20"/>
      <c r="N49" s="20"/>
      <c r="O49" s="2"/>
      <c r="P49" s="13"/>
      <c r="Q49" s="13"/>
      <c r="R49" s="14"/>
      <c r="S49" s="14"/>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row>
    <row r="50" spans="2:63" ht="12.95" hidden="1" customHeight="1" x14ac:dyDescent="0.25">
      <c r="B50" s="16">
        <v>42265</v>
      </c>
      <c r="C50" s="17" t="s">
        <v>24</v>
      </c>
      <c r="D50" s="16"/>
      <c r="E50" s="18">
        <v>1310156.2</v>
      </c>
      <c r="F50" s="18">
        <v>0</v>
      </c>
      <c r="G50" s="18">
        <f>+E50</f>
        <v>1310156.2</v>
      </c>
      <c r="H50" s="18">
        <v>0</v>
      </c>
      <c r="I50" s="18">
        <v>0</v>
      </c>
      <c r="J50" s="18">
        <v>0</v>
      </c>
      <c r="K50" s="18">
        <f>+G50-I50-J50</f>
        <v>1310156.2</v>
      </c>
      <c r="L50" s="19">
        <f>+L49-G50</f>
        <v>-1.1874362826347351E-8</v>
      </c>
      <c r="M50" s="20"/>
      <c r="N50" s="20"/>
      <c r="O50" s="2"/>
      <c r="P50" s="13"/>
      <c r="Q50" s="13"/>
      <c r="R50" s="14"/>
      <c r="S50" s="14"/>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row>
    <row r="51" spans="2:63" ht="12.95" hidden="1" customHeight="1" x14ac:dyDescent="0.25">
      <c r="B51" s="9" t="s">
        <v>61</v>
      </c>
      <c r="C51" s="10"/>
      <c r="D51" s="10">
        <f>750000000+1152000000</f>
        <v>1902000000</v>
      </c>
      <c r="E51" s="11">
        <f>+D51</f>
        <v>1902000000</v>
      </c>
      <c r="F51" s="11"/>
      <c r="G51" s="11"/>
      <c r="H51" s="11"/>
      <c r="I51" s="11"/>
      <c r="J51" s="11"/>
      <c r="K51" s="11"/>
      <c r="L51" s="11">
        <f>+D51</f>
        <v>1902000000</v>
      </c>
      <c r="M51" s="12"/>
      <c r="N51" s="12"/>
      <c r="O51" s="2"/>
      <c r="P51" s="13"/>
      <c r="Q51" s="13"/>
      <c r="R51" s="14"/>
      <c r="S51" s="14"/>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row>
    <row r="52" spans="2:63" ht="12.95" hidden="1" customHeight="1" x14ac:dyDescent="0.25">
      <c r="B52" s="16">
        <v>42270</v>
      </c>
      <c r="C52" s="36" t="s">
        <v>62</v>
      </c>
      <c r="D52" s="34"/>
      <c r="E52" s="18">
        <v>82184507</v>
      </c>
      <c r="F52" s="18" t="s">
        <v>63</v>
      </c>
      <c r="G52" s="18">
        <v>82184507</v>
      </c>
      <c r="H52" s="18">
        <v>0</v>
      </c>
      <c r="I52" s="18">
        <v>0</v>
      </c>
      <c r="J52" s="18">
        <v>684398.57</v>
      </c>
      <c r="K52" s="18">
        <f t="shared" ref="K52:K58" si="3">+G52-I52-J52-H52</f>
        <v>81500108.430000007</v>
      </c>
      <c r="L52" s="19">
        <f t="shared" ref="L52:L58" si="4">+L51-G52</f>
        <v>1819815493</v>
      </c>
      <c r="M52" s="20"/>
      <c r="N52" s="20"/>
      <c r="O52" s="2"/>
      <c r="P52" s="13"/>
      <c r="Q52" s="13"/>
      <c r="R52" s="14"/>
      <c r="S52" s="14"/>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row>
    <row r="53" spans="2:63" ht="12.95" hidden="1" customHeight="1" x14ac:dyDescent="0.25">
      <c r="B53" s="16">
        <v>42306</v>
      </c>
      <c r="C53" s="36" t="s">
        <v>64</v>
      </c>
      <c r="D53" s="34"/>
      <c r="E53" s="18">
        <v>398771933</v>
      </c>
      <c r="F53" s="18" t="s">
        <v>63</v>
      </c>
      <c r="G53" s="18">
        <v>398771933</v>
      </c>
      <c r="H53" s="37">
        <v>0</v>
      </c>
      <c r="I53" s="37">
        <v>0</v>
      </c>
      <c r="J53" s="37">
        <v>3320807.65</v>
      </c>
      <c r="K53" s="18">
        <f t="shared" si="3"/>
        <v>395451125.35000002</v>
      </c>
      <c r="L53" s="19">
        <f t="shared" si="4"/>
        <v>1421043560</v>
      </c>
      <c r="M53" s="20"/>
      <c r="N53" s="20"/>
      <c r="O53" s="2"/>
      <c r="P53" s="13"/>
      <c r="Q53" s="13"/>
      <c r="R53" s="14"/>
      <c r="S53" s="14"/>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row>
    <row r="54" spans="2:63" ht="12.95" hidden="1" customHeight="1" x14ac:dyDescent="0.25">
      <c r="B54" s="16">
        <v>42318</v>
      </c>
      <c r="C54" s="36" t="s">
        <v>65</v>
      </c>
      <c r="D54" s="34"/>
      <c r="E54" s="18">
        <v>365751281</v>
      </c>
      <c r="F54" s="18" t="s">
        <v>63</v>
      </c>
      <c r="G54" s="18">
        <v>365751281</v>
      </c>
      <c r="H54" s="37">
        <v>0</v>
      </c>
      <c r="I54" s="37">
        <v>0</v>
      </c>
      <c r="J54" s="37">
        <v>3045825.32</v>
      </c>
      <c r="K54" s="18">
        <f t="shared" si="3"/>
        <v>362705455.68000001</v>
      </c>
      <c r="L54" s="19">
        <f t="shared" si="4"/>
        <v>1055292279</v>
      </c>
      <c r="M54" s="20"/>
      <c r="N54" s="20"/>
      <c r="O54" s="2"/>
      <c r="P54" s="13"/>
      <c r="Q54" s="13"/>
      <c r="R54" s="14"/>
      <c r="S54" s="14"/>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row>
    <row r="55" spans="2:63" ht="12.95" hidden="1" customHeight="1" x14ac:dyDescent="0.25">
      <c r="B55" s="16">
        <v>42355</v>
      </c>
      <c r="C55" s="36" t="s">
        <v>66</v>
      </c>
      <c r="D55" s="34"/>
      <c r="E55" s="18">
        <v>450126343</v>
      </c>
      <c r="F55" s="18"/>
      <c r="G55" s="18">
        <v>450126343</v>
      </c>
      <c r="H55" s="37">
        <v>0</v>
      </c>
      <c r="I55" s="37">
        <v>0</v>
      </c>
      <c r="J55" s="37">
        <v>3748465.93</v>
      </c>
      <c r="K55" s="18">
        <f t="shared" si="3"/>
        <v>446377877.06999999</v>
      </c>
      <c r="L55" s="19">
        <f t="shared" si="4"/>
        <v>605165936</v>
      </c>
      <c r="M55" s="20"/>
      <c r="N55" s="20"/>
      <c r="O55" s="2"/>
      <c r="P55" s="13"/>
      <c r="Q55" s="13"/>
      <c r="R55" s="14"/>
      <c r="S55" s="14"/>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row>
    <row r="56" spans="2:63" ht="12.95" hidden="1" customHeight="1" x14ac:dyDescent="0.25">
      <c r="B56" s="16">
        <v>42368</v>
      </c>
      <c r="C56" s="34" t="s">
        <v>67</v>
      </c>
      <c r="D56" s="34"/>
      <c r="E56" s="18">
        <v>158248891</v>
      </c>
      <c r="F56" s="18">
        <v>0</v>
      </c>
      <c r="G56" s="18">
        <v>158248891</v>
      </c>
      <c r="H56" s="37">
        <v>0</v>
      </c>
      <c r="I56" s="37">
        <v>0</v>
      </c>
      <c r="J56" s="37">
        <v>1317831.28</v>
      </c>
      <c r="K56" s="18">
        <f t="shared" si="3"/>
        <v>156931059.72</v>
      </c>
      <c r="L56" s="19">
        <f t="shared" si="4"/>
        <v>446917045</v>
      </c>
      <c r="M56" s="20"/>
      <c r="N56" s="20"/>
      <c r="O56" s="2"/>
      <c r="P56" s="13"/>
      <c r="Q56" s="13"/>
      <c r="R56" s="14"/>
      <c r="S56" s="14"/>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row>
    <row r="57" spans="2:63" ht="12.95" hidden="1" customHeight="1" x14ac:dyDescent="0.25">
      <c r="B57" s="16">
        <v>42403</v>
      </c>
      <c r="C57" s="36" t="s">
        <v>68</v>
      </c>
      <c r="D57" s="34"/>
      <c r="E57" s="37">
        <v>446659448</v>
      </c>
      <c r="F57" s="18">
        <v>0</v>
      </c>
      <c r="G57" s="37">
        <v>446659448</v>
      </c>
      <c r="H57" s="37">
        <v>0</v>
      </c>
      <c r="I57" s="37">
        <v>0</v>
      </c>
      <c r="J57" s="37">
        <v>3719595.06</v>
      </c>
      <c r="K57" s="18">
        <f t="shared" si="3"/>
        <v>442939852.94</v>
      </c>
      <c r="L57" s="19">
        <f t="shared" si="4"/>
        <v>257597</v>
      </c>
      <c r="M57" s="20"/>
      <c r="N57" s="20"/>
      <c r="O57" s="2"/>
      <c r="P57" s="13"/>
      <c r="Q57" s="13"/>
      <c r="R57" s="14"/>
      <c r="S57" s="14"/>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row>
    <row r="58" spans="2:63" ht="12.95" hidden="1" customHeight="1" x14ac:dyDescent="0.25">
      <c r="B58" s="16">
        <v>42403</v>
      </c>
      <c r="C58" s="36" t="s">
        <v>24</v>
      </c>
      <c r="D58" s="34"/>
      <c r="E58" s="37">
        <v>257597</v>
      </c>
      <c r="F58" s="18"/>
      <c r="G58" s="37">
        <v>257597</v>
      </c>
      <c r="H58" s="37">
        <v>0</v>
      </c>
      <c r="I58" s="37">
        <v>0</v>
      </c>
      <c r="J58" s="37">
        <v>0</v>
      </c>
      <c r="K58" s="18">
        <f t="shared" si="3"/>
        <v>257597</v>
      </c>
      <c r="L58" s="19">
        <f t="shared" si="4"/>
        <v>0</v>
      </c>
      <c r="M58" s="20"/>
      <c r="N58" s="20"/>
      <c r="O58" s="2"/>
      <c r="P58" s="13"/>
      <c r="Q58" s="13"/>
      <c r="R58" s="14"/>
      <c r="S58" s="14"/>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row>
    <row r="59" spans="2:63" ht="12.95" hidden="1" customHeight="1" x14ac:dyDescent="0.25">
      <c r="B59" s="9" t="s">
        <v>69</v>
      </c>
      <c r="C59" s="10"/>
      <c r="D59" s="10">
        <v>1860660685.5</v>
      </c>
      <c r="E59" s="11">
        <f>+D59</f>
        <v>1860660685.5</v>
      </c>
      <c r="F59" s="11"/>
      <c r="G59" s="11"/>
      <c r="H59" s="11"/>
      <c r="I59" s="11"/>
      <c r="J59" s="11"/>
      <c r="K59" s="11"/>
      <c r="L59" s="11">
        <f>+D59</f>
        <v>1860660685.5</v>
      </c>
      <c r="M59" s="12"/>
      <c r="N59" s="12"/>
      <c r="O59" s="2"/>
      <c r="P59" s="13"/>
      <c r="Q59" s="13"/>
      <c r="R59" s="14"/>
      <c r="S59" s="14"/>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row>
    <row r="60" spans="2:63" ht="12.95" hidden="1" customHeight="1" x14ac:dyDescent="0.25">
      <c r="B60" s="16">
        <v>42010</v>
      </c>
      <c r="C60" s="17" t="s">
        <v>70</v>
      </c>
      <c r="D60" s="34"/>
      <c r="E60" s="18">
        <v>439937140.5</v>
      </c>
      <c r="F60" s="18">
        <v>0</v>
      </c>
      <c r="G60" s="18">
        <f>+E60</f>
        <v>439937140.5</v>
      </c>
      <c r="H60" s="24">
        <v>9102147.7400000002</v>
      </c>
      <c r="I60" s="18">
        <v>0</v>
      </c>
      <c r="J60" s="24">
        <v>3663614.46</v>
      </c>
      <c r="K60" s="18">
        <f>+G60-I60-J60-H60</f>
        <v>427171378.30000001</v>
      </c>
      <c r="L60" s="19">
        <f>+L59-G60</f>
        <v>1420723545</v>
      </c>
      <c r="M60" s="20"/>
      <c r="N60" s="20"/>
      <c r="O60" s="2"/>
      <c r="P60" s="13"/>
      <c r="Q60" s="13"/>
      <c r="R60" s="14"/>
      <c r="S60" s="14"/>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row>
    <row r="61" spans="2:63" ht="12.95" hidden="1" customHeight="1" x14ac:dyDescent="0.25">
      <c r="B61" s="16">
        <v>42109</v>
      </c>
      <c r="C61" s="17" t="s">
        <v>71</v>
      </c>
      <c r="D61" s="34"/>
      <c r="E61" s="18">
        <v>497253240.75</v>
      </c>
      <c r="F61" s="18"/>
      <c r="G61" s="18">
        <f>+E61</f>
        <v>497253240.75</v>
      </c>
      <c r="H61" s="24">
        <v>10287998.09</v>
      </c>
      <c r="I61" s="18">
        <v>0</v>
      </c>
      <c r="J61" s="24">
        <v>4140919.23</v>
      </c>
      <c r="K61" s="18">
        <f>+G61-I61-J61-H61</f>
        <v>482824323.43000001</v>
      </c>
      <c r="L61" s="19">
        <f>+L60-G61</f>
        <v>923470304.25</v>
      </c>
      <c r="M61" s="20"/>
      <c r="N61" s="20"/>
      <c r="O61" s="2"/>
      <c r="P61" s="13"/>
      <c r="Q61" s="13"/>
      <c r="R61" s="14"/>
      <c r="S61" s="14"/>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row>
    <row r="62" spans="2:63" ht="12.95" hidden="1" customHeight="1" x14ac:dyDescent="0.25">
      <c r="B62" s="16">
        <v>42278</v>
      </c>
      <c r="C62" s="36" t="s">
        <v>72</v>
      </c>
      <c r="D62" s="34"/>
      <c r="E62" s="18">
        <v>497253240.75</v>
      </c>
      <c r="F62" s="18"/>
      <c r="G62" s="18">
        <f>+E62</f>
        <v>497253240.75</v>
      </c>
      <c r="H62" s="24">
        <v>10287998.09</v>
      </c>
      <c r="I62" s="37">
        <v>0</v>
      </c>
      <c r="J62" s="37">
        <v>2957799.45</v>
      </c>
      <c r="K62" s="18">
        <f>+G62-I62-J62-H62</f>
        <v>484007443.21000004</v>
      </c>
      <c r="L62" s="19">
        <f>+L61-G62</f>
        <v>426217063.5</v>
      </c>
      <c r="M62" s="20"/>
      <c r="N62" s="20"/>
      <c r="O62" s="2"/>
      <c r="P62" s="13"/>
      <c r="Q62" s="13"/>
      <c r="R62" s="14"/>
      <c r="S62" s="14"/>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row>
    <row r="63" spans="2:63" ht="12.75" hidden="1" customHeight="1" x14ac:dyDescent="0.25">
      <c r="B63" s="38">
        <v>42368</v>
      </c>
      <c r="C63" s="39" t="s">
        <v>73</v>
      </c>
      <c r="D63" s="40"/>
      <c r="E63" s="41">
        <v>426217063.5</v>
      </c>
      <c r="F63" s="41"/>
      <c r="G63" s="18">
        <f>+E63</f>
        <v>426217063.5</v>
      </c>
      <c r="H63" s="42">
        <v>8818284.0700000003</v>
      </c>
      <c r="I63" s="43">
        <v>0</v>
      </c>
      <c r="J63" s="43">
        <v>2535256.67</v>
      </c>
      <c r="K63" s="18">
        <f>+G63-I63-J63-H63</f>
        <v>414863522.75999999</v>
      </c>
      <c r="L63" s="19">
        <f>+L62-G63</f>
        <v>0</v>
      </c>
      <c r="M63" s="20"/>
      <c r="N63" s="20"/>
      <c r="O63" s="2"/>
      <c r="P63" s="13"/>
      <c r="Q63" s="13"/>
      <c r="R63" s="14"/>
      <c r="S63" s="14"/>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row>
    <row r="64" spans="2:63" ht="15" hidden="1" x14ac:dyDescent="0.25">
      <c r="B64" s="9" t="s">
        <v>74</v>
      </c>
      <c r="C64" s="10"/>
      <c r="D64" s="10">
        <v>93185473</v>
      </c>
      <c r="E64" s="11">
        <f>+D64</f>
        <v>93185473</v>
      </c>
      <c r="F64" s="11"/>
      <c r="G64" s="11"/>
      <c r="H64" s="11"/>
      <c r="I64" s="11"/>
      <c r="J64" s="11"/>
      <c r="K64" s="11"/>
      <c r="L64" s="11">
        <f>+D64</f>
        <v>93185473</v>
      </c>
      <c r="M64" s="12"/>
      <c r="N64" s="12"/>
      <c r="O64" s="44"/>
      <c r="P64" s="13"/>
      <c r="Q64" s="13"/>
      <c r="R64" s="14"/>
      <c r="S64" s="14"/>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row>
    <row r="65" spans="2:63" ht="30" hidden="1" x14ac:dyDescent="0.25">
      <c r="B65" s="16">
        <v>42073</v>
      </c>
      <c r="C65" s="17" t="s">
        <v>75</v>
      </c>
      <c r="D65" s="34"/>
      <c r="E65" s="18">
        <v>8270900</v>
      </c>
      <c r="F65" s="18">
        <v>0</v>
      </c>
      <c r="G65" s="18">
        <f t="shared" ref="G65:G76" si="5">+E65</f>
        <v>8270900</v>
      </c>
      <c r="H65" s="18">
        <v>0</v>
      </c>
      <c r="I65" s="24">
        <v>456633.77</v>
      </c>
      <c r="J65" s="18">
        <v>70788.649999999994</v>
      </c>
      <c r="K65" s="18">
        <f t="shared" ref="K65:K76" si="6">+G65-I65-J65</f>
        <v>7743477.5800000001</v>
      </c>
      <c r="L65" s="19">
        <f t="shared" ref="L65:L76" si="7">+L64-E65</f>
        <v>84914573</v>
      </c>
      <c r="M65" s="20"/>
      <c r="N65" s="20"/>
      <c r="O65" s="44"/>
      <c r="P65" s="13"/>
      <c r="Q65" s="13"/>
      <c r="R65" s="14"/>
      <c r="S65" s="14"/>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row>
    <row r="66" spans="2:63" ht="30" hidden="1" x14ac:dyDescent="0.25">
      <c r="B66" s="16">
        <v>42104</v>
      </c>
      <c r="C66" s="17" t="s">
        <v>76</v>
      </c>
      <c r="D66" s="34"/>
      <c r="E66" s="18">
        <v>8270900</v>
      </c>
      <c r="F66" s="18"/>
      <c r="G66" s="18">
        <f t="shared" si="5"/>
        <v>8270900</v>
      </c>
      <c r="H66" s="18">
        <v>0</v>
      </c>
      <c r="I66" s="24">
        <v>313033.37</v>
      </c>
      <c r="J66" s="18"/>
      <c r="K66" s="18">
        <f t="shared" si="6"/>
        <v>7957866.6299999999</v>
      </c>
      <c r="L66" s="19">
        <f t="shared" si="7"/>
        <v>76643673</v>
      </c>
      <c r="M66" s="20"/>
      <c r="N66" s="20"/>
      <c r="O66" s="44"/>
      <c r="P66" s="13"/>
      <c r="Q66" s="13"/>
      <c r="R66" s="14"/>
      <c r="S66" s="14"/>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row>
    <row r="67" spans="2:63" ht="30" hidden="1" x14ac:dyDescent="0.25">
      <c r="B67" s="16">
        <v>42135</v>
      </c>
      <c r="C67" s="17" t="s">
        <v>77</v>
      </c>
      <c r="D67" s="34"/>
      <c r="E67" s="18">
        <v>8270900</v>
      </c>
      <c r="F67" s="18"/>
      <c r="G67" s="18">
        <f t="shared" si="5"/>
        <v>8270900</v>
      </c>
      <c r="H67" s="18">
        <v>0</v>
      </c>
      <c r="I67" s="24">
        <v>313033.37</v>
      </c>
      <c r="J67" s="18"/>
      <c r="K67" s="18">
        <f t="shared" si="6"/>
        <v>7957866.6299999999</v>
      </c>
      <c r="L67" s="19">
        <f t="shared" si="7"/>
        <v>68372773</v>
      </c>
      <c r="M67" s="20"/>
      <c r="N67" s="20"/>
      <c r="O67" s="44"/>
      <c r="P67" s="13"/>
      <c r="Q67" s="13"/>
      <c r="R67" s="14"/>
      <c r="S67" s="14"/>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row>
    <row r="68" spans="2:63" ht="30" hidden="1" x14ac:dyDescent="0.25">
      <c r="B68" s="16">
        <v>42158</v>
      </c>
      <c r="C68" s="17" t="s">
        <v>78</v>
      </c>
      <c r="D68" s="34"/>
      <c r="E68" s="18">
        <v>8270900</v>
      </c>
      <c r="F68" s="18"/>
      <c r="G68" s="18">
        <f t="shared" si="5"/>
        <v>8270900</v>
      </c>
      <c r="H68" s="18">
        <v>0</v>
      </c>
      <c r="I68" s="24">
        <v>313033.37</v>
      </c>
      <c r="J68" s="18">
        <v>70788.649999999994</v>
      </c>
      <c r="K68" s="18">
        <f t="shared" si="6"/>
        <v>7887077.9799999995</v>
      </c>
      <c r="L68" s="19">
        <f t="shared" si="7"/>
        <v>60101873</v>
      </c>
      <c r="M68" s="20"/>
      <c r="N68" s="20"/>
      <c r="O68" s="44"/>
      <c r="P68" s="13"/>
      <c r="Q68" s="13"/>
      <c r="R68" s="14"/>
      <c r="S68" s="14"/>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row>
    <row r="69" spans="2:63" ht="15" hidden="1" x14ac:dyDescent="0.25">
      <c r="B69" s="16">
        <v>42193</v>
      </c>
      <c r="C69" s="36" t="s">
        <v>79</v>
      </c>
      <c r="D69" s="34"/>
      <c r="E69" s="18">
        <v>8270900</v>
      </c>
      <c r="F69" s="18"/>
      <c r="G69" s="18">
        <f t="shared" si="5"/>
        <v>8270900</v>
      </c>
      <c r="H69" s="18">
        <v>0</v>
      </c>
      <c r="I69" s="24">
        <v>313033.37</v>
      </c>
      <c r="J69" s="45">
        <v>70788.649999999994</v>
      </c>
      <c r="K69" s="18">
        <f t="shared" si="6"/>
        <v>7887077.9799999995</v>
      </c>
      <c r="L69" s="19">
        <f t="shared" si="7"/>
        <v>51830973</v>
      </c>
      <c r="M69" s="20"/>
      <c r="N69" s="20"/>
      <c r="O69" s="44"/>
      <c r="P69" s="13"/>
      <c r="Q69" s="13"/>
      <c r="R69" s="14"/>
      <c r="S69" s="14"/>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row>
    <row r="70" spans="2:63" ht="15" hidden="1" x14ac:dyDescent="0.25">
      <c r="B70" s="16">
        <v>42235</v>
      </c>
      <c r="C70" s="36" t="s">
        <v>80</v>
      </c>
      <c r="D70" s="34"/>
      <c r="E70" s="18">
        <v>8270900</v>
      </c>
      <c r="F70" s="18"/>
      <c r="G70" s="18">
        <f t="shared" si="5"/>
        <v>8270900</v>
      </c>
      <c r="H70" s="18">
        <v>0</v>
      </c>
      <c r="I70" s="24">
        <v>361704.9</v>
      </c>
      <c r="J70" s="45">
        <v>70788.649999999994</v>
      </c>
      <c r="K70" s="18">
        <f t="shared" si="6"/>
        <v>7838406.4499999993</v>
      </c>
      <c r="L70" s="19">
        <f t="shared" si="7"/>
        <v>43560073</v>
      </c>
      <c r="M70" s="20"/>
      <c r="N70" s="20"/>
      <c r="O70" s="44"/>
      <c r="P70" s="13"/>
      <c r="Q70" s="13"/>
      <c r="R70" s="14"/>
      <c r="S70" s="14"/>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row>
    <row r="71" spans="2:63" ht="15" hidden="1" x14ac:dyDescent="0.25">
      <c r="B71" s="16">
        <v>42250</v>
      </c>
      <c r="C71" s="36" t="s">
        <v>81</v>
      </c>
      <c r="D71" s="34"/>
      <c r="E71" s="18">
        <v>8270900</v>
      </c>
      <c r="F71" s="18"/>
      <c r="G71" s="18">
        <f t="shared" si="5"/>
        <v>8270900</v>
      </c>
      <c r="H71" s="18">
        <v>0</v>
      </c>
      <c r="I71" s="24">
        <v>313033.37</v>
      </c>
      <c r="J71" s="45">
        <v>70788.649999999994</v>
      </c>
      <c r="K71" s="18">
        <f t="shared" si="6"/>
        <v>7887077.9799999995</v>
      </c>
      <c r="L71" s="19">
        <f t="shared" si="7"/>
        <v>35289173</v>
      </c>
      <c r="M71" s="20"/>
      <c r="N71" s="20"/>
      <c r="O71" s="44"/>
      <c r="P71" s="13"/>
      <c r="Q71" s="13"/>
      <c r="R71" s="14"/>
      <c r="S71" s="14"/>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row>
    <row r="72" spans="2:63" ht="15" hidden="1" x14ac:dyDescent="0.25">
      <c r="B72" s="16">
        <v>42283</v>
      </c>
      <c r="C72" s="36" t="s">
        <v>82</v>
      </c>
      <c r="D72" s="34"/>
      <c r="E72" s="18">
        <v>8270900</v>
      </c>
      <c r="F72" s="18"/>
      <c r="G72" s="18">
        <f t="shared" si="5"/>
        <v>8270900</v>
      </c>
      <c r="H72" s="18">
        <v>0</v>
      </c>
      <c r="I72" s="24">
        <v>313033.37</v>
      </c>
      <c r="J72" s="45">
        <v>70788.649999999994</v>
      </c>
      <c r="K72" s="18">
        <f t="shared" si="6"/>
        <v>7887077.9799999995</v>
      </c>
      <c r="L72" s="19">
        <f t="shared" si="7"/>
        <v>27018273</v>
      </c>
      <c r="M72" s="20"/>
      <c r="N72" s="20"/>
      <c r="O72" s="44"/>
      <c r="P72" s="13"/>
      <c r="Q72" s="13"/>
      <c r="R72" s="14"/>
      <c r="S72" s="14"/>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row>
    <row r="73" spans="2:63" ht="15" hidden="1" x14ac:dyDescent="0.25">
      <c r="B73" s="16">
        <v>42317</v>
      </c>
      <c r="C73" s="36" t="s">
        <v>83</v>
      </c>
      <c r="D73" s="34"/>
      <c r="E73" s="37">
        <v>8270900</v>
      </c>
      <c r="F73" s="18"/>
      <c r="G73" s="18">
        <f t="shared" si="5"/>
        <v>8270900</v>
      </c>
      <c r="H73" s="18">
        <v>0</v>
      </c>
      <c r="I73" s="37">
        <v>313033.37</v>
      </c>
      <c r="J73" s="37">
        <v>70788.649999999994</v>
      </c>
      <c r="K73" s="18">
        <f t="shared" si="6"/>
        <v>7887077.9799999995</v>
      </c>
      <c r="L73" s="19">
        <f t="shared" si="7"/>
        <v>18747373</v>
      </c>
      <c r="M73" s="20"/>
      <c r="N73" s="20"/>
      <c r="O73" s="44"/>
      <c r="P73" s="13"/>
      <c r="Q73" s="13"/>
      <c r="R73" s="14"/>
      <c r="S73" s="14"/>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row>
    <row r="74" spans="2:63" ht="15" hidden="1" x14ac:dyDescent="0.25">
      <c r="B74" s="16">
        <v>42340</v>
      </c>
      <c r="C74" s="36" t="s">
        <v>84</v>
      </c>
      <c r="D74" s="34"/>
      <c r="E74" s="37">
        <v>8270900</v>
      </c>
      <c r="F74" s="18"/>
      <c r="G74" s="18">
        <f t="shared" si="5"/>
        <v>8270900</v>
      </c>
      <c r="H74" s="18">
        <v>0</v>
      </c>
      <c r="I74" s="37">
        <v>313033.37</v>
      </c>
      <c r="J74" s="37">
        <v>70788.649999999994</v>
      </c>
      <c r="K74" s="18">
        <f t="shared" si="6"/>
        <v>7887077.9799999995</v>
      </c>
      <c r="L74" s="19">
        <f t="shared" si="7"/>
        <v>10476473</v>
      </c>
      <c r="M74" s="20"/>
      <c r="N74" s="20"/>
      <c r="O74" s="44"/>
      <c r="P74" s="13"/>
      <c r="Q74" s="13"/>
      <c r="R74" s="14"/>
      <c r="S74" s="14"/>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row>
    <row r="75" spans="2:63" ht="15" hidden="1" x14ac:dyDescent="0.25">
      <c r="B75" s="16">
        <v>42403</v>
      </c>
      <c r="C75" s="36" t="s">
        <v>85</v>
      </c>
      <c r="D75" s="34"/>
      <c r="E75" s="37">
        <v>8270900</v>
      </c>
      <c r="F75" s="18"/>
      <c r="G75" s="18">
        <f t="shared" si="5"/>
        <v>8270900</v>
      </c>
      <c r="H75" s="18">
        <v>0</v>
      </c>
      <c r="I75" s="37">
        <v>289432.13</v>
      </c>
      <c r="J75" s="37">
        <v>70788.649999999994</v>
      </c>
      <c r="K75" s="18">
        <f t="shared" si="6"/>
        <v>7910679.2199999997</v>
      </c>
      <c r="L75" s="19">
        <f t="shared" si="7"/>
        <v>2205573</v>
      </c>
      <c r="M75" s="20"/>
      <c r="N75" s="20"/>
      <c r="O75" s="44"/>
      <c r="P75" s="13"/>
      <c r="Q75" s="13"/>
      <c r="R75" s="14"/>
      <c r="S75" s="14"/>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row>
    <row r="76" spans="2:63" ht="15" hidden="1" x14ac:dyDescent="0.25">
      <c r="B76" s="16">
        <v>42437</v>
      </c>
      <c r="C76" s="36" t="s">
        <v>86</v>
      </c>
      <c r="D76" s="34"/>
      <c r="E76" s="37">
        <v>2205573</v>
      </c>
      <c r="F76" s="18"/>
      <c r="G76" s="18">
        <f t="shared" si="5"/>
        <v>2205573</v>
      </c>
      <c r="H76" s="18">
        <v>0</v>
      </c>
      <c r="I76" s="37">
        <v>0</v>
      </c>
      <c r="J76" s="37">
        <v>18876.97</v>
      </c>
      <c r="K76" s="18">
        <f t="shared" si="6"/>
        <v>2186696.0299999998</v>
      </c>
      <c r="L76" s="19">
        <f t="shared" si="7"/>
        <v>0</v>
      </c>
      <c r="M76" s="20"/>
      <c r="N76" s="20"/>
      <c r="O76" s="44"/>
      <c r="P76" s="13"/>
      <c r="Q76" s="13"/>
      <c r="R76" s="14"/>
      <c r="S76" s="14"/>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row>
    <row r="77" spans="2:63" ht="15" hidden="1" x14ac:dyDescent="0.25">
      <c r="B77" s="9" t="s">
        <v>87</v>
      </c>
      <c r="C77" s="10"/>
      <c r="D77" s="10">
        <v>41921000</v>
      </c>
      <c r="E77" s="11">
        <f>+D77</f>
        <v>41921000</v>
      </c>
      <c r="F77" s="11"/>
      <c r="G77" s="11"/>
      <c r="H77" s="11"/>
      <c r="I77" s="11"/>
      <c r="J77" s="11"/>
      <c r="K77" s="11"/>
      <c r="L77" s="11">
        <f>+D77</f>
        <v>41921000</v>
      </c>
      <c r="M77" s="12"/>
      <c r="N77" s="12"/>
      <c r="O77" s="44"/>
      <c r="P77" s="13"/>
      <c r="Q77" s="13"/>
      <c r="R77" s="14"/>
      <c r="S77" s="14"/>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row>
    <row r="78" spans="2:63" ht="30" hidden="1" x14ac:dyDescent="0.25">
      <c r="B78" s="32">
        <v>42080</v>
      </c>
      <c r="C78" s="33" t="s">
        <v>88</v>
      </c>
      <c r="D78" s="34"/>
      <c r="E78" s="18">
        <v>3811000</v>
      </c>
      <c r="F78" s="18">
        <v>0</v>
      </c>
      <c r="G78" s="18">
        <f>+E78</f>
        <v>3811000</v>
      </c>
      <c r="H78" s="18">
        <v>0</v>
      </c>
      <c r="I78" s="18">
        <v>0</v>
      </c>
      <c r="J78" s="18">
        <v>32617.43</v>
      </c>
      <c r="K78" s="18">
        <f t="shared" ref="K78:K88" si="8">+G78-I78-J78</f>
        <v>3778382.57</v>
      </c>
      <c r="L78" s="19">
        <f t="shared" ref="L78:L88" si="9">+L77-E78</f>
        <v>38110000</v>
      </c>
      <c r="M78" s="20"/>
      <c r="N78" s="20"/>
      <c r="O78" s="2"/>
      <c r="P78" s="13"/>
      <c r="Q78" s="13"/>
      <c r="R78" s="14"/>
      <c r="S78" s="14"/>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row>
    <row r="79" spans="2:63" ht="30" hidden="1" x14ac:dyDescent="0.25">
      <c r="B79" s="32">
        <v>42109</v>
      </c>
      <c r="C79" s="33" t="s">
        <v>89</v>
      </c>
      <c r="D79" s="34"/>
      <c r="E79" s="18">
        <v>3811000</v>
      </c>
      <c r="F79" s="18"/>
      <c r="G79" s="18">
        <v>3811000</v>
      </c>
      <c r="H79" s="18">
        <v>0</v>
      </c>
      <c r="I79" s="18">
        <v>0</v>
      </c>
      <c r="J79" s="18">
        <v>32617.43</v>
      </c>
      <c r="K79" s="18">
        <f t="shared" si="8"/>
        <v>3778382.57</v>
      </c>
      <c r="L79" s="19">
        <f t="shared" si="9"/>
        <v>34299000</v>
      </c>
      <c r="M79" s="20"/>
      <c r="N79" s="20"/>
      <c r="O79" s="2"/>
      <c r="P79" s="13"/>
      <c r="Q79" s="13"/>
      <c r="R79" s="14"/>
      <c r="S79" s="14"/>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row>
    <row r="80" spans="2:63" ht="30" hidden="1" x14ac:dyDescent="0.25">
      <c r="B80" s="16">
        <v>42135</v>
      </c>
      <c r="C80" s="17" t="s">
        <v>90</v>
      </c>
      <c r="D80" s="34"/>
      <c r="E80" s="18">
        <v>3811000</v>
      </c>
      <c r="F80" s="18"/>
      <c r="G80" s="18">
        <v>3811000</v>
      </c>
      <c r="H80" s="18">
        <v>0</v>
      </c>
      <c r="I80" s="18">
        <v>0</v>
      </c>
      <c r="J80" s="18">
        <v>32617.43</v>
      </c>
      <c r="K80" s="18">
        <f t="shared" si="8"/>
        <v>3778382.57</v>
      </c>
      <c r="L80" s="19">
        <f t="shared" si="9"/>
        <v>30488000</v>
      </c>
      <c r="M80" s="20"/>
      <c r="N80" s="20"/>
      <c r="O80" s="2"/>
      <c r="P80" s="13"/>
      <c r="Q80" s="13"/>
      <c r="R80" s="14"/>
      <c r="S80" s="14"/>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row>
    <row r="81" spans="2:63" ht="30" hidden="1" x14ac:dyDescent="0.25">
      <c r="B81" s="16">
        <v>42166</v>
      </c>
      <c r="C81" s="17" t="s">
        <v>91</v>
      </c>
      <c r="D81" s="36"/>
      <c r="E81" s="18">
        <v>3811000</v>
      </c>
      <c r="F81" s="36"/>
      <c r="G81" s="18">
        <v>3811000</v>
      </c>
      <c r="H81" s="18">
        <v>0</v>
      </c>
      <c r="I81" s="18">
        <v>0</v>
      </c>
      <c r="J81" s="18">
        <v>32617.43</v>
      </c>
      <c r="K81" s="18">
        <f t="shared" si="8"/>
        <v>3778382.57</v>
      </c>
      <c r="L81" s="19">
        <f t="shared" si="9"/>
        <v>26677000</v>
      </c>
      <c r="M81" s="20"/>
      <c r="N81" s="20"/>
      <c r="O81" s="2"/>
      <c r="P81" s="13"/>
      <c r="Q81" s="13"/>
      <c r="R81" s="14"/>
      <c r="S81" s="14"/>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row>
    <row r="82" spans="2:63" ht="30" hidden="1" x14ac:dyDescent="0.25">
      <c r="B82" s="16">
        <v>42194</v>
      </c>
      <c r="C82" s="17" t="s">
        <v>92</v>
      </c>
      <c r="D82" s="36"/>
      <c r="E82" s="18">
        <v>3811000</v>
      </c>
      <c r="F82" s="36"/>
      <c r="G82" s="18">
        <v>3811000</v>
      </c>
      <c r="H82" s="18">
        <v>0</v>
      </c>
      <c r="I82" s="18">
        <v>0</v>
      </c>
      <c r="J82" s="18">
        <v>32617.43</v>
      </c>
      <c r="K82" s="18">
        <f t="shared" si="8"/>
        <v>3778382.57</v>
      </c>
      <c r="L82" s="19">
        <f t="shared" si="9"/>
        <v>22866000</v>
      </c>
      <c r="M82" s="20"/>
      <c r="N82" s="20"/>
      <c r="O82" s="2"/>
      <c r="P82" s="13"/>
      <c r="Q82" s="13"/>
      <c r="R82" s="14"/>
      <c r="S82" s="14"/>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row>
    <row r="83" spans="2:63" ht="15" hidden="1" x14ac:dyDescent="0.25">
      <c r="B83" s="16">
        <v>42235</v>
      </c>
      <c r="C83" s="36" t="s">
        <v>93</v>
      </c>
      <c r="D83" s="36"/>
      <c r="E83" s="18">
        <v>3811000</v>
      </c>
      <c r="F83" s="36"/>
      <c r="G83" s="18">
        <v>3811000</v>
      </c>
      <c r="H83" s="18">
        <v>0</v>
      </c>
      <c r="I83" s="18">
        <v>0</v>
      </c>
      <c r="J83" s="18">
        <v>32617.43</v>
      </c>
      <c r="K83" s="18">
        <f t="shared" si="8"/>
        <v>3778382.57</v>
      </c>
      <c r="L83" s="19">
        <f t="shared" si="9"/>
        <v>19055000</v>
      </c>
      <c r="M83" s="20"/>
      <c r="N83" s="20"/>
      <c r="O83" s="2"/>
      <c r="P83" s="13"/>
      <c r="Q83" s="13"/>
      <c r="R83" s="14"/>
      <c r="S83" s="14"/>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row>
    <row r="84" spans="2:63" ht="15" hidden="1" x14ac:dyDescent="0.25">
      <c r="B84" s="16">
        <v>42265</v>
      </c>
      <c r="C84" s="36" t="s">
        <v>94</v>
      </c>
      <c r="D84" s="36"/>
      <c r="E84" s="18">
        <v>3811000</v>
      </c>
      <c r="F84" s="36"/>
      <c r="G84" s="18">
        <v>3811000</v>
      </c>
      <c r="H84" s="18">
        <v>0</v>
      </c>
      <c r="I84" s="18">
        <v>0</v>
      </c>
      <c r="J84" s="18">
        <v>32617.43</v>
      </c>
      <c r="K84" s="18">
        <f t="shared" si="8"/>
        <v>3778382.57</v>
      </c>
      <c r="L84" s="19">
        <f t="shared" si="9"/>
        <v>15244000</v>
      </c>
      <c r="M84" s="20"/>
      <c r="N84" s="20"/>
      <c r="O84" s="2"/>
      <c r="P84" s="13"/>
      <c r="Q84" s="13"/>
      <c r="R84" s="14"/>
      <c r="S84" s="14"/>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row>
    <row r="85" spans="2:63" ht="15" hidden="1" x14ac:dyDescent="0.25">
      <c r="B85" s="16">
        <v>42291</v>
      </c>
      <c r="C85" s="36" t="s">
        <v>95</v>
      </c>
      <c r="D85" s="36"/>
      <c r="E85" s="18">
        <v>3811000</v>
      </c>
      <c r="F85" s="36"/>
      <c r="G85" s="18">
        <v>3811000</v>
      </c>
      <c r="H85" s="37">
        <v>0</v>
      </c>
      <c r="I85" s="18">
        <v>0</v>
      </c>
      <c r="J85" s="18">
        <v>32617.43</v>
      </c>
      <c r="K85" s="18">
        <f t="shared" si="8"/>
        <v>3778382.57</v>
      </c>
      <c r="L85" s="19">
        <f t="shared" si="9"/>
        <v>11433000</v>
      </c>
      <c r="M85" s="20"/>
      <c r="N85" s="20"/>
      <c r="O85" s="2"/>
      <c r="P85" s="13"/>
      <c r="Q85" s="13"/>
      <c r="R85" s="14"/>
      <c r="S85" s="14"/>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row>
    <row r="86" spans="2:63" ht="15" hidden="1" x14ac:dyDescent="0.25">
      <c r="B86" s="16">
        <v>42314</v>
      </c>
      <c r="C86" s="36" t="s">
        <v>96</v>
      </c>
      <c r="D86" s="36"/>
      <c r="E86" s="18">
        <v>3811000</v>
      </c>
      <c r="F86" s="36"/>
      <c r="G86" s="18">
        <v>3811000</v>
      </c>
      <c r="H86" s="37">
        <v>0</v>
      </c>
      <c r="I86" s="18">
        <v>0</v>
      </c>
      <c r="J86" s="18">
        <v>32617.43</v>
      </c>
      <c r="K86" s="18">
        <f t="shared" si="8"/>
        <v>3778382.57</v>
      </c>
      <c r="L86" s="19">
        <f t="shared" si="9"/>
        <v>7622000</v>
      </c>
      <c r="M86" s="20"/>
      <c r="N86" s="20"/>
      <c r="O86" s="2"/>
      <c r="P86" s="13"/>
      <c r="Q86" s="13"/>
      <c r="R86" s="14"/>
      <c r="S86" s="14"/>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row>
    <row r="87" spans="2:63" ht="15" hidden="1" x14ac:dyDescent="0.25">
      <c r="B87" s="16">
        <v>42345</v>
      </c>
      <c r="C87" s="36" t="s">
        <v>97</v>
      </c>
      <c r="D87" s="36"/>
      <c r="E87" s="18">
        <v>3811000</v>
      </c>
      <c r="F87" s="36"/>
      <c r="G87" s="18">
        <v>3811000</v>
      </c>
      <c r="H87" s="37">
        <v>0</v>
      </c>
      <c r="I87" s="18">
        <v>0</v>
      </c>
      <c r="J87" s="18">
        <v>32617.43</v>
      </c>
      <c r="K87" s="18">
        <f t="shared" si="8"/>
        <v>3778382.57</v>
      </c>
      <c r="L87" s="19">
        <f t="shared" si="9"/>
        <v>3811000</v>
      </c>
      <c r="M87" s="20"/>
      <c r="N87" s="20"/>
      <c r="O87" s="2"/>
      <c r="P87" s="13"/>
      <c r="Q87" s="13"/>
      <c r="R87" s="14"/>
      <c r="S87" s="14"/>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row>
    <row r="88" spans="2:63" ht="15" hidden="1" x14ac:dyDescent="0.25">
      <c r="B88" s="16">
        <v>42377</v>
      </c>
      <c r="C88" s="36" t="s">
        <v>98</v>
      </c>
      <c r="D88" s="36"/>
      <c r="E88" s="18">
        <v>3811000</v>
      </c>
      <c r="F88" s="36"/>
      <c r="G88" s="18">
        <v>3811000</v>
      </c>
      <c r="H88" s="37">
        <v>0</v>
      </c>
      <c r="I88" s="18">
        <v>0</v>
      </c>
      <c r="J88" s="18">
        <v>32617.43</v>
      </c>
      <c r="K88" s="18">
        <f t="shared" si="8"/>
        <v>3778382.57</v>
      </c>
      <c r="L88" s="19">
        <f t="shared" si="9"/>
        <v>0</v>
      </c>
      <c r="M88" s="20"/>
      <c r="N88" s="20"/>
      <c r="O88" s="2"/>
      <c r="P88" s="13"/>
      <c r="Q88" s="13"/>
      <c r="R88" s="14"/>
      <c r="S88" s="14"/>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row>
    <row r="89" spans="2:63" ht="15" hidden="1" x14ac:dyDescent="0.25">
      <c r="B89" s="46" t="s">
        <v>99</v>
      </c>
      <c r="C89" s="47"/>
      <c r="D89" s="47">
        <v>115800000</v>
      </c>
      <c r="E89" s="48">
        <f>+D89</f>
        <v>115800000</v>
      </c>
      <c r="F89" s="48"/>
      <c r="G89" s="48"/>
      <c r="H89" s="48"/>
      <c r="I89" s="48"/>
      <c r="J89" s="48"/>
      <c r="K89" s="48"/>
      <c r="L89" s="48">
        <f>+D89</f>
        <v>115800000</v>
      </c>
      <c r="M89" s="12"/>
      <c r="N89" s="12"/>
      <c r="O89" s="44"/>
      <c r="P89" s="13"/>
      <c r="Q89" s="13"/>
      <c r="R89" s="14"/>
      <c r="S89" s="14"/>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row>
    <row r="90" spans="2:63" ht="15" hidden="1" x14ac:dyDescent="0.25">
      <c r="B90" s="16">
        <v>42073</v>
      </c>
      <c r="C90" s="36" t="s">
        <v>100</v>
      </c>
      <c r="D90" s="34"/>
      <c r="E90" s="37">
        <v>7800000</v>
      </c>
      <c r="F90" s="18">
        <v>0</v>
      </c>
      <c r="G90" s="18">
        <f>+E90</f>
        <v>7800000</v>
      </c>
      <c r="H90" s="18">
        <v>0</v>
      </c>
      <c r="I90" s="37">
        <v>536364.99</v>
      </c>
      <c r="J90" s="37">
        <v>66758.33</v>
      </c>
      <c r="K90" s="18">
        <f t="shared" ref="K90:K103" si="10">+G90-I90-J90</f>
        <v>7196876.6799999997</v>
      </c>
      <c r="L90" s="19">
        <f t="shared" ref="L90:L103" si="11">+L89-E90</f>
        <v>108000000</v>
      </c>
      <c r="M90" s="20"/>
      <c r="N90" s="20"/>
      <c r="O90" s="44"/>
      <c r="P90" s="13"/>
      <c r="Q90" s="13"/>
      <c r="R90" s="14"/>
      <c r="S90" s="14"/>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row>
    <row r="91" spans="2:63" ht="15" hidden="1" x14ac:dyDescent="0.25">
      <c r="B91" s="16">
        <v>42104</v>
      </c>
      <c r="C91" s="36" t="s">
        <v>101</v>
      </c>
      <c r="D91" s="34"/>
      <c r="E91" s="37">
        <v>7800000</v>
      </c>
      <c r="F91" s="18"/>
      <c r="G91" s="18">
        <v>7800000</v>
      </c>
      <c r="H91" s="18">
        <v>0</v>
      </c>
      <c r="I91" s="37">
        <v>536364.99</v>
      </c>
      <c r="J91" s="37">
        <v>66758.33</v>
      </c>
      <c r="K91" s="18">
        <f t="shared" si="10"/>
        <v>7196876.6799999997</v>
      </c>
      <c r="L91" s="19">
        <f t="shared" si="11"/>
        <v>100200000</v>
      </c>
      <c r="M91" s="20"/>
      <c r="N91" s="20"/>
      <c r="O91" s="44"/>
      <c r="P91" s="13"/>
      <c r="Q91" s="13"/>
      <c r="R91" s="14"/>
      <c r="S91" s="14"/>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row>
    <row r="92" spans="2:63" ht="15" hidden="1" x14ac:dyDescent="0.25">
      <c r="B92" s="16">
        <v>42143</v>
      </c>
      <c r="C92" s="36" t="s">
        <v>102</v>
      </c>
      <c r="D92" s="34"/>
      <c r="E92" s="37">
        <v>7800000</v>
      </c>
      <c r="F92" s="18"/>
      <c r="G92" s="18">
        <v>7800000</v>
      </c>
      <c r="H92" s="18">
        <v>0</v>
      </c>
      <c r="I92" s="37">
        <v>536364.99</v>
      </c>
      <c r="J92" s="37">
        <v>66758.33</v>
      </c>
      <c r="K92" s="18">
        <f t="shared" si="10"/>
        <v>7196876.6799999997</v>
      </c>
      <c r="L92" s="19">
        <f t="shared" si="11"/>
        <v>92400000</v>
      </c>
      <c r="M92" s="20"/>
      <c r="N92" s="20"/>
      <c r="O92" s="44"/>
      <c r="P92" s="13"/>
      <c r="Q92" s="13"/>
      <c r="R92" s="14"/>
      <c r="S92" s="14"/>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row>
    <row r="93" spans="2:63" ht="15" hidden="1" x14ac:dyDescent="0.25">
      <c r="B93" s="16">
        <v>42179</v>
      </c>
      <c r="C93" s="36" t="s">
        <v>103</v>
      </c>
      <c r="D93" s="34"/>
      <c r="E93" s="37">
        <v>7800000</v>
      </c>
      <c r="F93" s="18"/>
      <c r="G93" s="18">
        <v>7800000</v>
      </c>
      <c r="H93" s="18">
        <v>0</v>
      </c>
      <c r="I93" s="37">
        <v>536364.99</v>
      </c>
      <c r="J93" s="37">
        <v>66758.33</v>
      </c>
      <c r="K93" s="18">
        <f t="shared" si="10"/>
        <v>7196876.6799999997</v>
      </c>
      <c r="L93" s="19">
        <f t="shared" si="11"/>
        <v>84600000</v>
      </c>
      <c r="M93" s="20"/>
      <c r="N93" s="20"/>
      <c r="O93" s="44"/>
      <c r="P93" s="13"/>
      <c r="Q93" s="13"/>
      <c r="R93" s="14"/>
      <c r="S93" s="14"/>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row>
    <row r="94" spans="2:63" ht="15" hidden="1" x14ac:dyDescent="0.25">
      <c r="B94" s="16">
        <v>42199</v>
      </c>
      <c r="C94" s="36" t="s">
        <v>104</v>
      </c>
      <c r="D94" s="34"/>
      <c r="E94" s="37">
        <v>7800000</v>
      </c>
      <c r="F94" s="18"/>
      <c r="G94" s="18">
        <v>7800000</v>
      </c>
      <c r="H94" s="18">
        <v>0</v>
      </c>
      <c r="I94" s="37">
        <v>536364.99</v>
      </c>
      <c r="J94" s="37">
        <v>66758.33</v>
      </c>
      <c r="K94" s="18">
        <f t="shared" si="10"/>
        <v>7196876.6799999997</v>
      </c>
      <c r="L94" s="19">
        <f t="shared" si="11"/>
        <v>76800000</v>
      </c>
      <c r="M94" s="20"/>
      <c r="N94" s="20"/>
      <c r="O94" s="44"/>
      <c r="P94" s="13"/>
      <c r="Q94" s="13"/>
      <c r="R94" s="14"/>
      <c r="S94" s="14"/>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row>
    <row r="95" spans="2:63" ht="15" hidden="1" x14ac:dyDescent="0.25">
      <c r="B95" s="16">
        <v>42240</v>
      </c>
      <c r="C95" s="36" t="s">
        <v>105</v>
      </c>
      <c r="D95" s="34"/>
      <c r="E95" s="37">
        <v>7800000</v>
      </c>
      <c r="F95" s="18"/>
      <c r="G95" s="18">
        <v>7800000</v>
      </c>
      <c r="H95" s="18">
        <v>0</v>
      </c>
      <c r="I95" s="37">
        <v>542916.98</v>
      </c>
      <c r="J95" s="37">
        <v>66758.33</v>
      </c>
      <c r="K95" s="18">
        <f t="shared" si="10"/>
        <v>7190324.6899999995</v>
      </c>
      <c r="L95" s="19">
        <f t="shared" si="11"/>
        <v>69000000</v>
      </c>
      <c r="M95" s="20"/>
      <c r="N95" s="20"/>
      <c r="O95" s="44"/>
      <c r="P95" s="13"/>
      <c r="Q95" s="13"/>
      <c r="R95" s="14"/>
      <c r="S95" s="14"/>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row>
    <row r="96" spans="2:63" ht="15" hidden="1" x14ac:dyDescent="0.25">
      <c r="B96" s="16">
        <v>42265</v>
      </c>
      <c r="C96" s="36" t="s">
        <v>106</v>
      </c>
      <c r="D96" s="34"/>
      <c r="E96" s="24">
        <v>7800000</v>
      </c>
      <c r="F96" s="18"/>
      <c r="G96" s="24">
        <v>7800000</v>
      </c>
      <c r="H96" s="18">
        <v>0</v>
      </c>
      <c r="I96" s="18">
        <v>0</v>
      </c>
      <c r="J96" s="49">
        <v>66758.33</v>
      </c>
      <c r="K96" s="18">
        <f t="shared" si="10"/>
        <v>7733241.6699999999</v>
      </c>
      <c r="L96" s="19">
        <f t="shared" si="11"/>
        <v>61200000</v>
      </c>
      <c r="M96" s="20"/>
      <c r="N96" s="20"/>
      <c r="O96" s="2"/>
      <c r="P96" s="13"/>
      <c r="Q96" s="13"/>
      <c r="R96" s="14"/>
      <c r="S96" s="14"/>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row>
    <row r="97" spans="2:63" ht="15" hidden="1" x14ac:dyDescent="0.25">
      <c r="B97" s="16">
        <v>42276</v>
      </c>
      <c r="C97" s="36" t="s">
        <v>107</v>
      </c>
      <c r="D97" s="34"/>
      <c r="E97" s="24">
        <v>2243979</v>
      </c>
      <c r="F97" s="18"/>
      <c r="G97" s="24">
        <v>2243979</v>
      </c>
      <c r="H97" s="18">
        <v>0</v>
      </c>
      <c r="I97" s="18">
        <v>471235.6</v>
      </c>
      <c r="J97" s="49">
        <v>21676.84</v>
      </c>
      <c r="K97" s="18">
        <f t="shared" si="10"/>
        <v>1751066.5599999998</v>
      </c>
      <c r="L97" s="19">
        <f t="shared" si="11"/>
        <v>58956021</v>
      </c>
      <c r="M97" s="20"/>
      <c r="N97" s="20"/>
      <c r="O97" s="2"/>
      <c r="P97" s="13"/>
      <c r="Q97" s="13"/>
      <c r="R97" s="14"/>
      <c r="S97" s="14"/>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row>
    <row r="98" spans="2:63" ht="15" hidden="1" x14ac:dyDescent="0.25">
      <c r="B98" s="16">
        <v>42306</v>
      </c>
      <c r="C98" s="36" t="s">
        <v>108</v>
      </c>
      <c r="D98" s="34"/>
      <c r="E98" s="24">
        <v>7800000</v>
      </c>
      <c r="F98" s="18"/>
      <c r="G98" s="24">
        <v>7800000</v>
      </c>
      <c r="H98" s="18">
        <v>0</v>
      </c>
      <c r="I98" s="18">
        <v>542916.98</v>
      </c>
      <c r="J98" s="49">
        <v>66758.33</v>
      </c>
      <c r="K98" s="18">
        <f t="shared" si="10"/>
        <v>7190324.6899999995</v>
      </c>
      <c r="L98" s="19">
        <f t="shared" si="11"/>
        <v>51156021</v>
      </c>
      <c r="M98" s="20"/>
      <c r="N98" s="20"/>
      <c r="O98" s="2"/>
      <c r="P98" s="13"/>
      <c r="Q98" s="13"/>
      <c r="R98" s="14"/>
      <c r="S98" s="14"/>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row>
    <row r="99" spans="2:63" ht="15" hidden="1" x14ac:dyDescent="0.25">
      <c r="B99" s="16">
        <v>42320</v>
      </c>
      <c r="C99" s="36" t="s">
        <v>109</v>
      </c>
      <c r="D99" s="34"/>
      <c r="E99" s="24">
        <v>7800000</v>
      </c>
      <c r="F99" s="18"/>
      <c r="G99" s="24">
        <v>7800000</v>
      </c>
      <c r="H99" s="37">
        <v>0</v>
      </c>
      <c r="I99" s="18">
        <v>536364.99</v>
      </c>
      <c r="J99" s="37">
        <v>66758.33</v>
      </c>
      <c r="K99" s="18">
        <f t="shared" si="10"/>
        <v>7196876.6799999997</v>
      </c>
      <c r="L99" s="19">
        <f t="shared" si="11"/>
        <v>43356021</v>
      </c>
      <c r="M99" s="20"/>
      <c r="N99" s="20"/>
      <c r="O99" s="2"/>
      <c r="P99" s="13"/>
      <c r="Q99" s="13"/>
      <c r="R99" s="14"/>
      <c r="S99" s="14"/>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row>
    <row r="100" spans="2:63" ht="15" hidden="1" x14ac:dyDescent="0.25">
      <c r="B100" s="16">
        <v>42341</v>
      </c>
      <c r="C100" s="36" t="s">
        <v>110</v>
      </c>
      <c r="D100" s="34"/>
      <c r="E100" s="24">
        <v>3949960</v>
      </c>
      <c r="F100" s="18"/>
      <c r="G100" s="24">
        <v>3949960</v>
      </c>
      <c r="H100" s="37">
        <v>0</v>
      </c>
      <c r="I100" s="18">
        <v>52433.34</v>
      </c>
      <c r="J100" s="37">
        <v>38156.61</v>
      </c>
      <c r="K100" s="18">
        <f t="shared" si="10"/>
        <v>3859370.0500000003</v>
      </c>
      <c r="L100" s="19">
        <f t="shared" si="11"/>
        <v>39406061</v>
      </c>
      <c r="M100" s="20"/>
      <c r="N100" s="20"/>
      <c r="O100" s="2"/>
      <c r="P100" s="13"/>
      <c r="Q100" s="13"/>
      <c r="R100" s="14"/>
      <c r="S100" s="14"/>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row>
    <row r="101" spans="2:63" ht="15" hidden="1" x14ac:dyDescent="0.25">
      <c r="B101" s="16">
        <v>42355</v>
      </c>
      <c r="C101" s="36" t="s">
        <v>111</v>
      </c>
      <c r="D101" s="34"/>
      <c r="E101" s="24">
        <v>7800000</v>
      </c>
      <c r="F101" s="18"/>
      <c r="G101" s="24">
        <v>7800000</v>
      </c>
      <c r="H101" s="37">
        <v>0</v>
      </c>
      <c r="I101" s="18">
        <v>1313423.27</v>
      </c>
      <c r="J101" s="37">
        <v>66758.33</v>
      </c>
      <c r="K101" s="18">
        <f t="shared" si="10"/>
        <v>6419818.4000000004</v>
      </c>
      <c r="L101" s="19">
        <f t="shared" si="11"/>
        <v>31606061</v>
      </c>
      <c r="M101" s="20"/>
      <c r="N101" s="20"/>
      <c r="O101" s="2"/>
      <c r="P101" s="13"/>
      <c r="Q101" s="13"/>
      <c r="R101" s="14"/>
      <c r="S101" s="14"/>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row>
    <row r="102" spans="2:63" ht="15" hidden="1" x14ac:dyDescent="0.25">
      <c r="B102" s="16">
        <v>42377</v>
      </c>
      <c r="C102" s="36" t="s">
        <v>112</v>
      </c>
      <c r="D102" s="34"/>
      <c r="E102" s="24">
        <v>7800000</v>
      </c>
      <c r="F102" s="18"/>
      <c r="G102" s="24">
        <v>7800000</v>
      </c>
      <c r="H102" s="37">
        <v>0</v>
      </c>
      <c r="I102" s="18">
        <v>489197.01</v>
      </c>
      <c r="J102" s="37">
        <v>66758.33</v>
      </c>
      <c r="K102" s="18">
        <f t="shared" si="10"/>
        <v>7244044.6600000001</v>
      </c>
      <c r="L102" s="19">
        <f t="shared" si="11"/>
        <v>23806061</v>
      </c>
      <c r="M102" s="20"/>
      <c r="N102" s="20"/>
      <c r="O102" s="2"/>
      <c r="P102" s="13"/>
      <c r="Q102" s="13"/>
      <c r="R102" s="14"/>
      <c r="S102" s="14"/>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row>
    <row r="103" spans="2:63" ht="15" hidden="1" x14ac:dyDescent="0.25">
      <c r="B103" s="16">
        <v>42377</v>
      </c>
      <c r="C103" s="36" t="s">
        <v>24</v>
      </c>
      <c r="D103" s="34"/>
      <c r="E103" s="18">
        <v>23806061</v>
      </c>
      <c r="F103" s="18"/>
      <c r="G103" s="24">
        <f>+E103</f>
        <v>23806061</v>
      </c>
      <c r="H103" s="37">
        <v>0</v>
      </c>
      <c r="I103" s="18">
        <v>0</v>
      </c>
      <c r="J103" s="37">
        <v>0</v>
      </c>
      <c r="K103" s="18">
        <f t="shared" si="10"/>
        <v>23806061</v>
      </c>
      <c r="L103" s="19">
        <f t="shared" si="11"/>
        <v>0</v>
      </c>
      <c r="M103" s="20"/>
      <c r="N103" s="20"/>
      <c r="O103" s="2"/>
      <c r="P103" s="13"/>
      <c r="Q103" s="13"/>
      <c r="R103" s="14"/>
      <c r="S103" s="14"/>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row>
    <row r="104" spans="2:63" ht="12.95" hidden="1" customHeight="1" x14ac:dyDescent="0.25">
      <c r="B104" s="9" t="s">
        <v>113</v>
      </c>
      <c r="C104" s="10"/>
      <c r="D104" s="10">
        <v>38948000</v>
      </c>
      <c r="E104" s="11">
        <f>+D104</f>
        <v>38948000</v>
      </c>
      <c r="F104" s="11"/>
      <c r="G104" s="11"/>
      <c r="H104" s="11"/>
      <c r="I104" s="11"/>
      <c r="J104" s="11"/>
      <c r="K104" s="11"/>
      <c r="L104" s="11">
        <f>+D104</f>
        <v>38948000</v>
      </c>
      <c r="M104" s="12"/>
      <c r="N104" s="12"/>
      <c r="O104" s="2"/>
      <c r="P104" s="13"/>
      <c r="Q104" s="13"/>
      <c r="R104" s="14"/>
      <c r="S104" s="14"/>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row>
    <row r="105" spans="2:63" ht="12.95" hidden="1" customHeight="1" x14ac:dyDescent="0.25">
      <c r="B105" s="32">
        <v>42104</v>
      </c>
      <c r="C105" s="33" t="s">
        <v>114</v>
      </c>
      <c r="D105" s="34"/>
      <c r="E105" s="34">
        <v>3640000</v>
      </c>
      <c r="F105" s="18"/>
      <c r="G105" s="18">
        <f t="shared" ref="G105:G116" si="12">+E105</f>
        <v>3640000</v>
      </c>
      <c r="H105" s="18">
        <v>0</v>
      </c>
      <c r="I105" s="18">
        <v>0</v>
      </c>
      <c r="J105" s="18">
        <v>31153.89</v>
      </c>
      <c r="K105" s="18">
        <f t="shared" ref="K105:K116" si="13">+G105-I105-J105</f>
        <v>3608846.11</v>
      </c>
      <c r="L105" s="19">
        <f t="shared" ref="L105:L116" si="14">+L104-E105</f>
        <v>35308000</v>
      </c>
      <c r="M105" s="20"/>
      <c r="N105" s="20"/>
      <c r="O105" s="2"/>
      <c r="P105" s="13"/>
      <c r="Q105" s="13"/>
      <c r="R105" s="14"/>
      <c r="S105" s="14"/>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row>
    <row r="106" spans="2:63" ht="12.95" hidden="1" customHeight="1" x14ac:dyDescent="0.25">
      <c r="B106" s="16">
        <v>42121</v>
      </c>
      <c r="C106" s="17" t="s">
        <v>115</v>
      </c>
      <c r="D106" s="34"/>
      <c r="E106" s="34">
        <v>3640000</v>
      </c>
      <c r="F106" s="18"/>
      <c r="G106" s="18">
        <f t="shared" si="12"/>
        <v>3640000</v>
      </c>
      <c r="H106" s="18">
        <v>0</v>
      </c>
      <c r="I106" s="18">
        <v>293516.78999999998</v>
      </c>
      <c r="J106" s="18">
        <v>31153.89</v>
      </c>
      <c r="K106" s="18">
        <f t="shared" si="13"/>
        <v>3315329.32</v>
      </c>
      <c r="L106" s="19">
        <f t="shared" si="14"/>
        <v>31668000</v>
      </c>
      <c r="M106" s="20"/>
      <c r="N106" s="20"/>
      <c r="O106" s="2"/>
      <c r="P106" s="13"/>
      <c r="Q106" s="13"/>
      <c r="R106" s="14"/>
      <c r="S106" s="14"/>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row>
    <row r="107" spans="2:63" ht="12.95" hidden="1" customHeight="1" x14ac:dyDescent="0.25">
      <c r="B107" s="16">
        <v>42157</v>
      </c>
      <c r="C107" s="17" t="s">
        <v>116</v>
      </c>
      <c r="D107" s="34"/>
      <c r="E107" s="34">
        <v>3640000</v>
      </c>
      <c r="F107" s="18"/>
      <c r="G107" s="18">
        <f t="shared" si="12"/>
        <v>3640000</v>
      </c>
      <c r="H107" s="18">
        <v>0</v>
      </c>
      <c r="I107" s="18">
        <v>0</v>
      </c>
      <c r="J107" s="18">
        <v>31153.89</v>
      </c>
      <c r="K107" s="18">
        <f t="shared" si="13"/>
        <v>3608846.11</v>
      </c>
      <c r="L107" s="19">
        <f t="shared" si="14"/>
        <v>28028000</v>
      </c>
      <c r="M107" s="20"/>
      <c r="N107" s="20"/>
      <c r="O107" s="2"/>
      <c r="P107" s="13"/>
      <c r="Q107" s="13"/>
      <c r="R107" s="14"/>
      <c r="S107" s="14"/>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row>
    <row r="108" spans="2:63" ht="12.95" hidden="1" customHeight="1" x14ac:dyDescent="0.25">
      <c r="B108" s="16">
        <v>42194</v>
      </c>
      <c r="C108" s="17" t="s">
        <v>117</v>
      </c>
      <c r="D108" s="34"/>
      <c r="E108" s="37">
        <v>3640000</v>
      </c>
      <c r="F108" s="18"/>
      <c r="G108" s="18">
        <f t="shared" si="12"/>
        <v>3640000</v>
      </c>
      <c r="H108" s="18">
        <v>0</v>
      </c>
      <c r="I108" s="18">
        <v>0</v>
      </c>
      <c r="J108" s="18">
        <v>31153.89</v>
      </c>
      <c r="K108" s="18">
        <f t="shared" si="13"/>
        <v>3608846.11</v>
      </c>
      <c r="L108" s="19">
        <f t="shared" si="14"/>
        <v>24388000</v>
      </c>
      <c r="M108" s="20"/>
      <c r="N108" s="20"/>
      <c r="O108" s="2"/>
      <c r="P108" s="13"/>
      <c r="Q108" s="13"/>
      <c r="R108" s="14"/>
      <c r="S108" s="14"/>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row>
    <row r="109" spans="2:63" ht="12.95" hidden="1" customHeight="1" x14ac:dyDescent="0.25">
      <c r="B109" s="16">
        <v>42235</v>
      </c>
      <c r="C109" s="36" t="s">
        <v>118</v>
      </c>
      <c r="D109" s="34"/>
      <c r="E109" s="37">
        <v>3640000</v>
      </c>
      <c r="F109" s="18"/>
      <c r="G109" s="18">
        <f t="shared" si="12"/>
        <v>3640000</v>
      </c>
      <c r="H109" s="18">
        <v>0</v>
      </c>
      <c r="I109" s="18">
        <v>0</v>
      </c>
      <c r="J109" s="18">
        <v>31153.89</v>
      </c>
      <c r="K109" s="18">
        <f t="shared" si="13"/>
        <v>3608846.11</v>
      </c>
      <c r="L109" s="19">
        <f t="shared" si="14"/>
        <v>20748000</v>
      </c>
      <c r="M109" s="20"/>
      <c r="N109" s="20"/>
      <c r="O109" s="2"/>
      <c r="P109" s="13"/>
      <c r="Q109" s="13"/>
      <c r="R109" s="14"/>
      <c r="S109" s="14"/>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row>
    <row r="110" spans="2:63" ht="12.95" hidden="1" customHeight="1" x14ac:dyDescent="0.25">
      <c r="B110" s="16">
        <v>42250</v>
      </c>
      <c r="C110" s="36" t="s">
        <v>119</v>
      </c>
      <c r="D110" s="34"/>
      <c r="E110" s="49">
        <v>3640000</v>
      </c>
      <c r="F110" s="18"/>
      <c r="G110" s="18">
        <f t="shared" si="12"/>
        <v>3640000</v>
      </c>
      <c r="H110" s="18">
        <v>0</v>
      </c>
      <c r="I110" s="18">
        <v>0</v>
      </c>
      <c r="J110" s="18">
        <v>31153.89</v>
      </c>
      <c r="K110" s="18">
        <f t="shared" si="13"/>
        <v>3608846.11</v>
      </c>
      <c r="L110" s="19">
        <f t="shared" si="14"/>
        <v>17108000</v>
      </c>
      <c r="M110" s="20"/>
      <c r="N110" s="20"/>
      <c r="O110" s="2"/>
      <c r="P110" s="13"/>
      <c r="Q110" s="13"/>
      <c r="R110" s="14"/>
      <c r="S110" s="14"/>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row>
    <row r="111" spans="2:63" ht="12.95" hidden="1" customHeight="1" x14ac:dyDescent="0.25">
      <c r="B111" s="16">
        <v>42320</v>
      </c>
      <c r="C111" s="36" t="s">
        <v>120</v>
      </c>
      <c r="D111" s="34"/>
      <c r="E111" s="49">
        <v>3640000</v>
      </c>
      <c r="F111" s="18"/>
      <c r="G111" s="18">
        <f t="shared" si="12"/>
        <v>3640000</v>
      </c>
      <c r="H111" s="37">
        <v>0</v>
      </c>
      <c r="I111" s="37">
        <v>0</v>
      </c>
      <c r="J111" s="37">
        <v>31153.89</v>
      </c>
      <c r="K111" s="18">
        <f t="shared" si="13"/>
        <v>3608846.11</v>
      </c>
      <c r="L111" s="19">
        <f t="shared" si="14"/>
        <v>13468000</v>
      </c>
      <c r="M111" s="20"/>
      <c r="N111" s="20"/>
      <c r="O111" s="2"/>
      <c r="P111" s="13"/>
      <c r="Q111" s="13"/>
      <c r="R111" s="14"/>
      <c r="S111" s="14"/>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row>
    <row r="112" spans="2:63" ht="12.95" hidden="1" customHeight="1" x14ac:dyDescent="0.25">
      <c r="B112" s="16">
        <v>42320</v>
      </c>
      <c r="C112" s="36" t="s">
        <v>121</v>
      </c>
      <c r="D112" s="34"/>
      <c r="E112" s="49">
        <v>3640000</v>
      </c>
      <c r="F112" s="18"/>
      <c r="G112" s="18">
        <f t="shared" si="12"/>
        <v>3640000</v>
      </c>
      <c r="H112" s="37">
        <v>0</v>
      </c>
      <c r="I112" s="37">
        <v>293516.78999999998</v>
      </c>
      <c r="J112" s="37">
        <v>31153.89</v>
      </c>
      <c r="K112" s="18">
        <f t="shared" si="13"/>
        <v>3315329.32</v>
      </c>
      <c r="L112" s="19">
        <f t="shared" si="14"/>
        <v>9828000</v>
      </c>
      <c r="M112" s="20"/>
      <c r="N112" s="20"/>
      <c r="O112" s="2"/>
      <c r="P112" s="13"/>
      <c r="Q112" s="13"/>
      <c r="R112" s="14"/>
      <c r="S112" s="14"/>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row>
    <row r="113" spans="2:63" ht="12.95" hidden="1" customHeight="1" x14ac:dyDescent="0.25">
      <c r="B113" s="16">
        <v>42340</v>
      </c>
      <c r="C113" s="36" t="s">
        <v>122</v>
      </c>
      <c r="D113" s="34"/>
      <c r="E113" s="49">
        <v>3640000</v>
      </c>
      <c r="F113" s="18"/>
      <c r="G113" s="18">
        <f t="shared" si="12"/>
        <v>3640000</v>
      </c>
      <c r="H113" s="37">
        <v>0</v>
      </c>
      <c r="I113" s="37">
        <v>0</v>
      </c>
      <c r="J113" s="37">
        <v>31153.89</v>
      </c>
      <c r="K113" s="18">
        <f t="shared" si="13"/>
        <v>3608846.11</v>
      </c>
      <c r="L113" s="19">
        <f t="shared" si="14"/>
        <v>6188000</v>
      </c>
      <c r="M113" s="20"/>
      <c r="N113" s="20"/>
      <c r="O113" s="2"/>
      <c r="P113" s="13"/>
      <c r="Q113" s="13"/>
      <c r="R113" s="14"/>
      <c r="S113" s="14"/>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row>
    <row r="114" spans="2:63" ht="12.95" hidden="1" customHeight="1" x14ac:dyDescent="0.25">
      <c r="B114" s="16">
        <v>42377</v>
      </c>
      <c r="C114" s="36" t="s">
        <v>123</v>
      </c>
      <c r="D114" s="34"/>
      <c r="E114" s="49">
        <v>3640000</v>
      </c>
      <c r="F114" s="18"/>
      <c r="G114" s="18">
        <f t="shared" si="12"/>
        <v>3640000</v>
      </c>
      <c r="H114" s="37">
        <v>0</v>
      </c>
      <c r="I114" s="37">
        <v>0</v>
      </c>
      <c r="J114" s="37">
        <v>31153.89</v>
      </c>
      <c r="K114" s="18">
        <f t="shared" si="13"/>
        <v>3608846.11</v>
      </c>
      <c r="L114" s="19">
        <f t="shared" si="14"/>
        <v>2548000</v>
      </c>
      <c r="M114" s="20"/>
      <c r="N114" s="20"/>
      <c r="O114" s="2"/>
      <c r="P114" s="13"/>
      <c r="Q114" s="13"/>
      <c r="R114" s="14"/>
      <c r="S114" s="14"/>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row>
    <row r="115" spans="2:63" ht="12.95" hidden="1" customHeight="1" x14ac:dyDescent="0.25">
      <c r="B115" s="16">
        <v>42471</v>
      </c>
      <c r="C115" s="50" t="s">
        <v>124</v>
      </c>
      <c r="D115" s="34"/>
      <c r="E115" s="49">
        <v>1577333</v>
      </c>
      <c r="F115" s="18"/>
      <c r="G115" s="18">
        <f t="shared" si="12"/>
        <v>1577333</v>
      </c>
      <c r="H115" s="37">
        <v>0</v>
      </c>
      <c r="I115" s="37">
        <v>0</v>
      </c>
      <c r="J115" s="37">
        <v>13500.01</v>
      </c>
      <c r="K115" s="18">
        <f t="shared" si="13"/>
        <v>1563832.99</v>
      </c>
      <c r="L115" s="19">
        <f t="shared" si="14"/>
        <v>970667</v>
      </c>
      <c r="M115" s="20"/>
      <c r="N115" s="20"/>
      <c r="O115" s="2"/>
      <c r="P115" s="13"/>
      <c r="Q115" s="13"/>
      <c r="R115" s="14"/>
      <c r="S115" s="14"/>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row>
    <row r="116" spans="2:63" ht="12.95" hidden="1" customHeight="1" x14ac:dyDescent="0.25">
      <c r="B116" s="16">
        <v>42471</v>
      </c>
      <c r="C116" s="36" t="s">
        <v>24</v>
      </c>
      <c r="D116" s="34"/>
      <c r="E116" s="49">
        <v>970667</v>
      </c>
      <c r="F116" s="18"/>
      <c r="G116" s="18">
        <f t="shared" si="12"/>
        <v>970667</v>
      </c>
      <c r="H116" s="37">
        <v>0</v>
      </c>
      <c r="I116" s="37">
        <v>0</v>
      </c>
      <c r="J116" s="37">
        <v>0</v>
      </c>
      <c r="K116" s="18">
        <f t="shared" si="13"/>
        <v>970667</v>
      </c>
      <c r="L116" s="19">
        <f t="shared" si="14"/>
        <v>0</v>
      </c>
      <c r="M116" s="20"/>
      <c r="N116" s="20"/>
      <c r="O116" s="2"/>
      <c r="P116" s="13"/>
      <c r="Q116" s="13"/>
      <c r="R116" s="14"/>
      <c r="S116" s="14"/>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row>
    <row r="117" spans="2:63" ht="12.95" hidden="1" customHeight="1" x14ac:dyDescent="0.25">
      <c r="B117" s="9" t="s">
        <v>125</v>
      </c>
      <c r="C117" s="10"/>
      <c r="D117" s="10">
        <v>60320000</v>
      </c>
      <c r="E117" s="11">
        <f>+D117</f>
        <v>60320000</v>
      </c>
      <c r="F117" s="11"/>
      <c r="G117" s="11"/>
      <c r="H117" s="11"/>
      <c r="I117" s="11"/>
      <c r="J117" s="11"/>
      <c r="K117" s="11"/>
      <c r="L117" s="11">
        <f>+D117</f>
        <v>60320000</v>
      </c>
      <c r="M117" s="12"/>
      <c r="N117" s="12"/>
      <c r="O117" s="2"/>
      <c r="P117" s="13"/>
      <c r="Q117" s="13"/>
      <c r="R117" s="14"/>
      <c r="S117" s="14"/>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row>
    <row r="118" spans="2:63" ht="12.95" hidden="1" customHeight="1" x14ac:dyDescent="0.25">
      <c r="B118" s="32">
        <v>42109</v>
      </c>
      <c r="C118" s="33" t="s">
        <v>126</v>
      </c>
      <c r="D118" s="34"/>
      <c r="E118" s="34">
        <v>5800000</v>
      </c>
      <c r="F118" s="18"/>
      <c r="G118" s="24">
        <v>5800000</v>
      </c>
      <c r="H118" s="18">
        <v>0</v>
      </c>
      <c r="I118" s="24">
        <v>220118.79</v>
      </c>
      <c r="J118" s="24">
        <v>49640.81</v>
      </c>
      <c r="K118" s="18">
        <f t="shared" ref="K118:K128" si="15">+G118-I118-J118</f>
        <v>5530240.4000000004</v>
      </c>
      <c r="L118" s="19">
        <f t="shared" ref="L118:L128" si="16">+L117-E118</f>
        <v>54520000</v>
      </c>
      <c r="M118" s="20"/>
      <c r="N118" s="20"/>
      <c r="O118" s="2"/>
      <c r="P118" s="13"/>
      <c r="Q118" s="13"/>
      <c r="R118" s="14"/>
      <c r="S118" s="14"/>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row>
    <row r="119" spans="2:63" ht="12.95" hidden="1" customHeight="1" x14ac:dyDescent="0.25">
      <c r="B119" s="16">
        <v>42130</v>
      </c>
      <c r="C119" s="17" t="s">
        <v>127</v>
      </c>
      <c r="D119" s="34"/>
      <c r="E119" s="24">
        <v>5800000</v>
      </c>
      <c r="F119" s="18"/>
      <c r="G119" s="24">
        <v>5800000</v>
      </c>
      <c r="H119" s="18">
        <v>0</v>
      </c>
      <c r="I119" s="24">
        <v>220118.79</v>
      </c>
      <c r="J119" s="24">
        <v>49640.81</v>
      </c>
      <c r="K119" s="18">
        <f t="shared" si="15"/>
        <v>5530240.4000000004</v>
      </c>
      <c r="L119" s="19">
        <f t="shared" si="16"/>
        <v>48720000</v>
      </c>
      <c r="M119" s="20"/>
      <c r="N119" s="20"/>
      <c r="O119" s="2"/>
      <c r="P119" s="13"/>
      <c r="Q119" s="13"/>
      <c r="R119" s="14"/>
      <c r="S119" s="14"/>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row>
    <row r="120" spans="2:63" ht="12.95" hidden="1" customHeight="1" x14ac:dyDescent="0.25">
      <c r="B120" s="16">
        <v>42158</v>
      </c>
      <c r="C120" s="17" t="s">
        <v>128</v>
      </c>
      <c r="D120" s="34"/>
      <c r="E120" s="24">
        <v>5800000</v>
      </c>
      <c r="F120" s="18"/>
      <c r="G120" s="24">
        <v>5800000</v>
      </c>
      <c r="H120" s="18">
        <v>0</v>
      </c>
      <c r="I120" s="24">
        <v>220118.79</v>
      </c>
      <c r="J120" s="24">
        <v>49640.81</v>
      </c>
      <c r="K120" s="18">
        <f t="shared" si="15"/>
        <v>5530240.4000000004</v>
      </c>
      <c r="L120" s="19">
        <f t="shared" si="16"/>
        <v>42920000</v>
      </c>
      <c r="M120" s="20"/>
      <c r="N120" s="20"/>
      <c r="O120" s="2"/>
      <c r="P120" s="13"/>
      <c r="Q120" s="13"/>
      <c r="R120" s="14"/>
      <c r="S120" s="14"/>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row>
    <row r="121" spans="2:63" ht="12.95" hidden="1" customHeight="1" x14ac:dyDescent="0.25">
      <c r="B121" s="16">
        <v>42191</v>
      </c>
      <c r="C121" s="17" t="s">
        <v>129</v>
      </c>
      <c r="D121" s="34"/>
      <c r="E121" s="24">
        <v>5800000</v>
      </c>
      <c r="F121" s="18"/>
      <c r="G121" s="24">
        <v>5800000</v>
      </c>
      <c r="H121" s="18">
        <v>0</v>
      </c>
      <c r="I121" s="24">
        <v>220118.79</v>
      </c>
      <c r="J121" s="24">
        <v>49640.81</v>
      </c>
      <c r="K121" s="18">
        <f t="shared" si="15"/>
        <v>5530240.4000000004</v>
      </c>
      <c r="L121" s="19">
        <f t="shared" si="16"/>
        <v>37120000</v>
      </c>
      <c r="M121" s="20"/>
      <c r="N121" s="20"/>
      <c r="O121" s="2"/>
      <c r="P121" s="13"/>
      <c r="Q121" s="13"/>
      <c r="R121" s="14"/>
      <c r="S121" s="14"/>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row>
    <row r="122" spans="2:63" ht="12.95" hidden="1" customHeight="1" x14ac:dyDescent="0.25">
      <c r="B122" s="16">
        <v>42235</v>
      </c>
      <c r="C122" s="36" t="s">
        <v>130</v>
      </c>
      <c r="D122" s="34"/>
      <c r="E122" s="24">
        <v>5800000</v>
      </c>
      <c r="F122" s="18"/>
      <c r="G122" s="24">
        <v>5800000</v>
      </c>
      <c r="H122" s="18">
        <v>0</v>
      </c>
      <c r="I122" s="24">
        <v>220118.79</v>
      </c>
      <c r="J122" s="24">
        <v>49640.81</v>
      </c>
      <c r="K122" s="18">
        <f t="shared" si="15"/>
        <v>5530240.4000000004</v>
      </c>
      <c r="L122" s="19">
        <f t="shared" si="16"/>
        <v>31320000</v>
      </c>
      <c r="M122" s="20"/>
      <c r="N122" s="20"/>
      <c r="O122" s="2"/>
      <c r="P122" s="13"/>
      <c r="Q122" s="13"/>
      <c r="R122" s="14"/>
      <c r="S122" s="14"/>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row>
    <row r="123" spans="2:63" ht="12.95" hidden="1" customHeight="1" x14ac:dyDescent="0.25">
      <c r="B123" s="16">
        <v>42256</v>
      </c>
      <c r="C123" s="36" t="s">
        <v>131</v>
      </c>
      <c r="D123" s="34"/>
      <c r="E123" s="24">
        <v>5800000</v>
      </c>
      <c r="F123" s="18"/>
      <c r="G123" s="24">
        <v>5800000</v>
      </c>
      <c r="H123" s="18">
        <v>0</v>
      </c>
      <c r="I123" s="24">
        <v>220118.79</v>
      </c>
      <c r="J123" s="24">
        <v>49640.81</v>
      </c>
      <c r="K123" s="18">
        <f t="shared" si="15"/>
        <v>5530240.4000000004</v>
      </c>
      <c r="L123" s="19">
        <f t="shared" si="16"/>
        <v>25520000</v>
      </c>
      <c r="M123" s="20"/>
      <c r="N123" s="20"/>
      <c r="O123" s="2"/>
      <c r="P123" s="13"/>
      <c r="Q123" s="13"/>
      <c r="R123" s="14"/>
      <c r="S123" s="14"/>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row>
    <row r="124" spans="2:63" ht="12.95" hidden="1" customHeight="1" x14ac:dyDescent="0.25">
      <c r="B124" s="16">
        <v>42292</v>
      </c>
      <c r="C124" s="36" t="s">
        <v>132</v>
      </c>
      <c r="D124" s="34"/>
      <c r="E124" s="24">
        <v>5800000</v>
      </c>
      <c r="F124" s="18"/>
      <c r="G124" s="24">
        <v>5800000</v>
      </c>
      <c r="H124" s="18">
        <v>0</v>
      </c>
      <c r="I124" s="24">
        <v>220118.79</v>
      </c>
      <c r="J124" s="24">
        <v>49640.81</v>
      </c>
      <c r="K124" s="18">
        <f t="shared" si="15"/>
        <v>5530240.4000000004</v>
      </c>
      <c r="L124" s="19">
        <f t="shared" si="16"/>
        <v>19720000</v>
      </c>
      <c r="M124" s="20"/>
      <c r="N124" s="20"/>
      <c r="O124" s="44"/>
      <c r="P124" s="13"/>
      <c r="Q124" s="13"/>
      <c r="R124" s="14"/>
      <c r="S124" s="14"/>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row>
    <row r="125" spans="2:63" ht="12.95" hidden="1" customHeight="1" x14ac:dyDescent="0.25">
      <c r="B125" s="16">
        <v>42312</v>
      </c>
      <c r="C125" s="36" t="s">
        <v>133</v>
      </c>
      <c r="D125" s="34"/>
      <c r="E125" s="24">
        <v>5800000</v>
      </c>
      <c r="F125" s="18"/>
      <c r="G125" s="24">
        <v>5800000</v>
      </c>
      <c r="H125" s="18">
        <v>0</v>
      </c>
      <c r="I125" s="24">
        <v>313072</v>
      </c>
      <c r="J125" s="24">
        <v>56028</v>
      </c>
      <c r="K125" s="18">
        <f t="shared" si="15"/>
        <v>5430900</v>
      </c>
      <c r="L125" s="19">
        <f t="shared" si="16"/>
        <v>13920000</v>
      </c>
      <c r="M125" s="20"/>
      <c r="N125" s="20"/>
      <c r="O125" s="51"/>
      <c r="P125" s="13"/>
      <c r="Q125" s="13"/>
      <c r="R125" s="14"/>
      <c r="S125" s="14"/>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row>
    <row r="126" spans="2:63" ht="12.95" hidden="1" customHeight="1" x14ac:dyDescent="0.25">
      <c r="B126" s="16">
        <v>42341</v>
      </c>
      <c r="C126" s="36" t="s">
        <v>110</v>
      </c>
      <c r="D126" s="34"/>
      <c r="E126" s="24">
        <v>5800000</v>
      </c>
      <c r="F126" s="18"/>
      <c r="G126" s="24">
        <v>5800000</v>
      </c>
      <c r="H126" s="18">
        <v>0</v>
      </c>
      <c r="I126" s="24">
        <v>313072</v>
      </c>
      <c r="J126" s="24">
        <v>56028</v>
      </c>
      <c r="K126" s="18">
        <f t="shared" si="15"/>
        <v>5430900</v>
      </c>
      <c r="L126" s="19">
        <f t="shared" si="16"/>
        <v>8120000</v>
      </c>
      <c r="M126" s="20"/>
      <c r="N126" s="20"/>
      <c r="O126" s="2"/>
      <c r="P126" s="13"/>
      <c r="Q126" s="13"/>
      <c r="R126" s="14"/>
      <c r="S126" s="14"/>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row>
    <row r="127" spans="2:63" ht="12.95" hidden="1" customHeight="1" x14ac:dyDescent="0.25">
      <c r="B127" s="16">
        <v>42375</v>
      </c>
      <c r="C127" s="36" t="s">
        <v>134</v>
      </c>
      <c r="D127" s="34"/>
      <c r="E127" s="24">
        <v>5800000</v>
      </c>
      <c r="F127" s="18"/>
      <c r="G127" s="24">
        <f>+E127</f>
        <v>5800000</v>
      </c>
      <c r="H127" s="37">
        <v>0</v>
      </c>
      <c r="I127" s="24">
        <v>289458.34000000003</v>
      </c>
      <c r="J127" s="24">
        <v>56028</v>
      </c>
      <c r="K127" s="18">
        <f t="shared" si="15"/>
        <v>5454513.6600000001</v>
      </c>
      <c r="L127" s="19">
        <f t="shared" si="16"/>
        <v>2320000</v>
      </c>
      <c r="M127" s="20"/>
      <c r="N127" s="20"/>
      <c r="O127" s="2"/>
      <c r="P127" s="13"/>
      <c r="Q127" s="13"/>
      <c r="R127" s="14"/>
      <c r="S127" s="14"/>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row>
    <row r="128" spans="2:63" ht="12.95" hidden="1" customHeight="1" x14ac:dyDescent="0.25">
      <c r="B128" s="16">
        <v>42403</v>
      </c>
      <c r="C128" s="36" t="s">
        <v>135</v>
      </c>
      <c r="D128" s="34"/>
      <c r="E128" s="37">
        <v>2320000</v>
      </c>
      <c r="F128" s="18"/>
      <c r="G128" s="24">
        <f>+E128</f>
        <v>2320000</v>
      </c>
      <c r="H128" s="37">
        <v>0</v>
      </c>
      <c r="I128" s="24">
        <v>289458.34000000003</v>
      </c>
      <c r="J128" s="24">
        <v>56028</v>
      </c>
      <c r="K128" s="18">
        <f t="shared" si="15"/>
        <v>1974513.66</v>
      </c>
      <c r="L128" s="19">
        <f t="shared" si="16"/>
        <v>0</v>
      </c>
      <c r="M128" s="20"/>
      <c r="N128" s="20"/>
      <c r="O128" s="2"/>
      <c r="P128" s="13"/>
      <c r="Q128" s="13"/>
      <c r="R128" s="14"/>
      <c r="S128" s="14"/>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row>
    <row r="129" spans="2:63" ht="12.95" hidden="1" customHeight="1" x14ac:dyDescent="0.25">
      <c r="B129" s="9" t="s">
        <v>136</v>
      </c>
      <c r="C129" s="10"/>
      <c r="D129" s="10">
        <f>600000000+198192000</f>
        <v>798192000</v>
      </c>
      <c r="E129" s="11">
        <f>+D129</f>
        <v>798192000</v>
      </c>
      <c r="F129" s="11"/>
      <c r="G129" s="11"/>
      <c r="H129" s="11"/>
      <c r="I129" s="11"/>
      <c r="J129" s="11"/>
      <c r="K129" s="11"/>
      <c r="L129" s="11">
        <f>+D129</f>
        <v>798192000</v>
      </c>
      <c r="M129" s="12"/>
      <c r="N129" s="12"/>
      <c r="O129" s="2"/>
      <c r="P129" s="13"/>
      <c r="Q129" s="13"/>
      <c r="R129" s="14"/>
      <c r="S129" s="14"/>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row>
    <row r="130" spans="2:63" ht="12.95" hidden="1" customHeight="1" x14ac:dyDescent="0.25">
      <c r="B130" s="52">
        <v>42109</v>
      </c>
      <c r="C130" s="53" t="s">
        <v>137</v>
      </c>
      <c r="D130" s="34"/>
      <c r="E130" s="34">
        <v>546000000</v>
      </c>
      <c r="F130" s="18"/>
      <c r="G130" s="34">
        <v>546000000</v>
      </c>
      <c r="H130" s="37">
        <v>0</v>
      </c>
      <c r="I130" s="37">
        <v>0</v>
      </c>
      <c r="J130" s="24">
        <v>0</v>
      </c>
      <c r="K130" s="18">
        <f>+G130-I130-J130</f>
        <v>546000000</v>
      </c>
      <c r="L130" s="19">
        <f>+L129-E130</f>
        <v>252192000</v>
      </c>
      <c r="M130" s="20"/>
      <c r="N130" s="20"/>
      <c r="O130" s="2"/>
      <c r="P130" s="13"/>
      <c r="Q130" s="13"/>
      <c r="R130" s="14"/>
      <c r="S130" s="14"/>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row>
    <row r="131" spans="2:63" ht="12.95" hidden="1" customHeight="1" x14ac:dyDescent="0.25">
      <c r="B131" s="16">
        <v>42237</v>
      </c>
      <c r="C131" s="36" t="s">
        <v>138</v>
      </c>
      <c r="D131" s="34"/>
      <c r="E131" s="34">
        <v>27000000</v>
      </c>
      <c r="F131" s="18"/>
      <c r="G131" s="34">
        <v>27000000</v>
      </c>
      <c r="H131" s="37">
        <v>0</v>
      </c>
      <c r="I131" s="37">
        <v>0</v>
      </c>
      <c r="J131" s="24">
        <v>224844.83</v>
      </c>
      <c r="K131" s="18">
        <f>+G131-I131-J131</f>
        <v>26775155.170000002</v>
      </c>
      <c r="L131" s="19">
        <f>+L130-E131</f>
        <v>225192000</v>
      </c>
      <c r="M131" s="20"/>
      <c r="N131" s="20"/>
      <c r="O131" s="2"/>
      <c r="P131" s="13"/>
      <c r="Q131" s="13"/>
      <c r="R131" s="14"/>
      <c r="S131" s="14"/>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row>
    <row r="132" spans="2:63" ht="12.95" hidden="1" customHeight="1" x14ac:dyDescent="0.25">
      <c r="B132" s="16">
        <v>42318</v>
      </c>
      <c r="C132" s="36" t="s">
        <v>139</v>
      </c>
      <c r="D132" s="34"/>
      <c r="E132" s="37">
        <v>176738138.36000001</v>
      </c>
      <c r="F132" s="18"/>
      <c r="G132" s="37">
        <v>176738138.36000001</v>
      </c>
      <c r="H132" s="37">
        <v>0</v>
      </c>
      <c r="I132" s="37">
        <v>0</v>
      </c>
      <c r="J132" s="24">
        <v>1707290.42</v>
      </c>
      <c r="K132" s="18">
        <f>+G132-I132-J132</f>
        <v>175030847.94000003</v>
      </c>
      <c r="L132" s="19">
        <f>+L131-E132</f>
        <v>48453861.639999986</v>
      </c>
      <c r="M132" s="20"/>
      <c r="N132" s="20"/>
      <c r="O132" s="2"/>
      <c r="P132" s="13"/>
      <c r="Q132" s="13"/>
      <c r="R132" s="14"/>
      <c r="S132" s="14"/>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row>
    <row r="133" spans="2:63" ht="12.95" hidden="1" customHeight="1" x14ac:dyDescent="0.25">
      <c r="B133" s="16">
        <v>42334</v>
      </c>
      <c r="C133" s="36" t="s">
        <v>140</v>
      </c>
      <c r="D133" s="34"/>
      <c r="E133" s="37">
        <v>1359290.11</v>
      </c>
      <c r="F133" s="18"/>
      <c r="G133" s="37">
        <v>1359290.11</v>
      </c>
      <c r="H133" s="37">
        <v>0</v>
      </c>
      <c r="I133" s="37">
        <v>0</v>
      </c>
      <c r="J133" s="24">
        <v>11319.61</v>
      </c>
      <c r="K133" s="18">
        <f>+G133-I133-J133</f>
        <v>1347970.5</v>
      </c>
      <c r="L133" s="19">
        <f>+L132-E133</f>
        <v>47094571.529999986</v>
      </c>
      <c r="M133" s="20"/>
      <c r="N133" s="20"/>
      <c r="O133" s="2"/>
      <c r="P133" s="13"/>
      <c r="Q133" s="13"/>
      <c r="R133" s="14"/>
      <c r="S133" s="14"/>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row>
    <row r="134" spans="2:63" ht="12.95" hidden="1" customHeight="1" x14ac:dyDescent="0.25">
      <c r="B134" s="16">
        <v>42345</v>
      </c>
      <c r="C134" s="36" t="s">
        <v>141</v>
      </c>
      <c r="D134" s="34"/>
      <c r="E134" s="37">
        <v>9367640.7100000009</v>
      </c>
      <c r="F134" s="18"/>
      <c r="G134" s="37">
        <f>+E134</f>
        <v>9367640.7100000009</v>
      </c>
      <c r="H134" s="37">
        <v>0</v>
      </c>
      <c r="I134" s="37">
        <v>0</v>
      </c>
      <c r="J134" s="24">
        <v>78009.84</v>
      </c>
      <c r="K134" s="18">
        <f>+G134-I134-J134</f>
        <v>9289630.870000001</v>
      </c>
      <c r="L134" s="19">
        <f>+L133-E134</f>
        <v>37726930.819999985</v>
      </c>
      <c r="M134" s="20"/>
      <c r="N134" s="20"/>
      <c r="O134" s="54"/>
      <c r="P134" s="13"/>
      <c r="Q134" s="13"/>
      <c r="R134" s="14"/>
      <c r="S134" s="14"/>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row>
    <row r="135" spans="2:63" ht="12.95" hidden="1" customHeight="1" x14ac:dyDescent="0.25">
      <c r="B135" s="9" t="s">
        <v>142</v>
      </c>
      <c r="C135" s="10"/>
      <c r="D135" s="10">
        <v>80259732</v>
      </c>
      <c r="E135" s="11">
        <f>+D135</f>
        <v>80259732</v>
      </c>
      <c r="F135" s="11"/>
      <c r="G135" s="11"/>
      <c r="H135" s="11"/>
      <c r="I135" s="11"/>
      <c r="J135" s="11"/>
      <c r="K135" s="11"/>
      <c r="L135" s="11">
        <f>+D135</f>
        <v>80259732</v>
      </c>
      <c r="M135" s="12"/>
      <c r="N135" s="12"/>
      <c r="O135" s="2"/>
      <c r="P135" s="13"/>
      <c r="Q135" s="13"/>
      <c r="R135" s="14"/>
      <c r="S135" s="14"/>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row>
    <row r="136" spans="2:63" ht="12.95" hidden="1" customHeight="1" x14ac:dyDescent="0.25">
      <c r="B136" s="32">
        <v>42122</v>
      </c>
      <c r="C136" s="33" t="s">
        <v>143</v>
      </c>
      <c r="D136" s="34"/>
      <c r="E136" s="24">
        <v>7643784</v>
      </c>
      <c r="F136" s="18"/>
      <c r="G136" s="34">
        <v>7643784</v>
      </c>
      <c r="H136" s="18">
        <v>0</v>
      </c>
      <c r="I136" s="24">
        <v>353248.03</v>
      </c>
      <c r="J136" s="24">
        <v>65421.31</v>
      </c>
      <c r="K136" s="18">
        <f t="shared" ref="K136:K146" si="17">+G136-I136-J136</f>
        <v>7225114.6600000001</v>
      </c>
      <c r="L136" s="19">
        <f t="shared" ref="L136:L146" si="18">+L135-E136</f>
        <v>72615948</v>
      </c>
      <c r="M136" s="20"/>
      <c r="N136" s="20"/>
      <c r="O136" s="2"/>
      <c r="P136" s="13"/>
      <c r="Q136" s="13"/>
      <c r="R136" s="14"/>
      <c r="S136" s="14"/>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row>
    <row r="137" spans="2:63" ht="12.95" hidden="1" customHeight="1" x14ac:dyDescent="0.25">
      <c r="B137" s="16">
        <v>42135</v>
      </c>
      <c r="C137" s="17" t="s">
        <v>144</v>
      </c>
      <c r="D137" s="34"/>
      <c r="E137" s="24">
        <v>7643784</v>
      </c>
      <c r="F137" s="18"/>
      <c r="G137" s="24">
        <v>7643784</v>
      </c>
      <c r="H137" s="18">
        <v>0</v>
      </c>
      <c r="I137" s="24">
        <v>353247.98</v>
      </c>
      <c r="J137" s="24">
        <v>65421.31</v>
      </c>
      <c r="K137" s="18">
        <f t="shared" si="17"/>
        <v>7225114.71</v>
      </c>
      <c r="L137" s="19">
        <f t="shared" si="18"/>
        <v>64972164</v>
      </c>
      <c r="M137" s="20"/>
      <c r="N137" s="20"/>
      <c r="O137" s="2"/>
      <c r="P137" s="13"/>
      <c r="Q137" s="13"/>
      <c r="R137" s="14"/>
      <c r="S137" s="14"/>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row>
    <row r="138" spans="2:63" ht="12.95" hidden="1" customHeight="1" x14ac:dyDescent="0.25">
      <c r="B138" s="16">
        <v>42166</v>
      </c>
      <c r="C138" s="17" t="s">
        <v>145</v>
      </c>
      <c r="D138" s="34"/>
      <c r="E138" s="24">
        <v>7643784</v>
      </c>
      <c r="F138" s="18"/>
      <c r="G138" s="24">
        <v>7643784</v>
      </c>
      <c r="H138" s="18">
        <v>0</v>
      </c>
      <c r="I138" s="24">
        <v>353248.03</v>
      </c>
      <c r="J138" s="24">
        <v>65421.31</v>
      </c>
      <c r="K138" s="18">
        <f t="shared" si="17"/>
        <v>7225114.6600000001</v>
      </c>
      <c r="L138" s="19">
        <f t="shared" si="18"/>
        <v>57328380</v>
      </c>
      <c r="M138" s="20"/>
      <c r="N138" s="20"/>
      <c r="O138" s="2"/>
      <c r="P138" s="13"/>
      <c r="Q138" s="13"/>
      <c r="R138" s="14"/>
      <c r="S138" s="14"/>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row>
    <row r="139" spans="2:63" ht="12.95" hidden="1" customHeight="1" x14ac:dyDescent="0.25">
      <c r="B139" s="16">
        <v>42208</v>
      </c>
      <c r="C139" s="36" t="s">
        <v>146</v>
      </c>
      <c r="D139" s="55"/>
      <c r="E139" s="24">
        <v>7643784</v>
      </c>
      <c r="F139" s="56"/>
      <c r="G139" s="24">
        <v>7643784</v>
      </c>
      <c r="H139" s="56">
        <v>0</v>
      </c>
      <c r="I139" s="24">
        <v>353248.01</v>
      </c>
      <c r="J139" s="24">
        <v>65421.31</v>
      </c>
      <c r="K139" s="18">
        <f t="shared" si="17"/>
        <v>7225114.6800000006</v>
      </c>
      <c r="L139" s="19">
        <f t="shared" si="18"/>
        <v>49684596</v>
      </c>
      <c r="M139" s="20"/>
      <c r="N139" s="20"/>
      <c r="O139" s="2"/>
      <c r="P139" s="13"/>
      <c r="Q139" s="13"/>
      <c r="R139" s="14"/>
      <c r="S139" s="14"/>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row>
    <row r="140" spans="2:63" ht="12.95" hidden="1" customHeight="1" x14ac:dyDescent="0.25">
      <c r="B140" s="16">
        <v>42241</v>
      </c>
      <c r="C140" s="36" t="s">
        <v>147</v>
      </c>
      <c r="D140" s="55"/>
      <c r="E140" s="24">
        <v>7643784</v>
      </c>
      <c r="F140" s="56"/>
      <c r="G140" s="24">
        <v>7643784</v>
      </c>
      <c r="H140" s="56">
        <v>0</v>
      </c>
      <c r="I140" s="24">
        <v>353395</v>
      </c>
      <c r="J140" s="24">
        <v>65421.31</v>
      </c>
      <c r="K140" s="18">
        <f t="shared" si="17"/>
        <v>7224967.6900000004</v>
      </c>
      <c r="L140" s="19">
        <f t="shared" si="18"/>
        <v>42040812</v>
      </c>
      <c r="M140" s="20"/>
      <c r="N140" s="20"/>
      <c r="O140" s="2"/>
      <c r="P140" s="13"/>
      <c r="Q140" s="13"/>
      <c r="R140" s="14"/>
      <c r="S140" s="14"/>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row>
    <row r="141" spans="2:63" ht="12.95" hidden="1" customHeight="1" x14ac:dyDescent="0.25">
      <c r="B141" s="16">
        <v>42262</v>
      </c>
      <c r="C141" s="36" t="s">
        <v>148</v>
      </c>
      <c r="D141" s="55"/>
      <c r="E141" s="24">
        <v>7643784</v>
      </c>
      <c r="F141" s="56"/>
      <c r="G141" s="24">
        <v>7643784</v>
      </c>
      <c r="H141" s="56">
        <v>0</v>
      </c>
      <c r="I141" s="42">
        <v>353395</v>
      </c>
      <c r="J141" s="24">
        <v>65421.31</v>
      </c>
      <c r="K141" s="18">
        <f t="shared" si="17"/>
        <v>7224967.6900000004</v>
      </c>
      <c r="L141" s="19">
        <f t="shared" si="18"/>
        <v>34397028</v>
      </c>
      <c r="M141" s="20"/>
      <c r="N141" s="20"/>
      <c r="O141" s="2"/>
      <c r="P141" s="13"/>
      <c r="Q141" s="13"/>
      <c r="R141" s="14"/>
      <c r="S141" s="14"/>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row>
    <row r="142" spans="2:63" ht="12.95" hidden="1" customHeight="1" x14ac:dyDescent="0.25">
      <c r="B142" s="16">
        <v>42299</v>
      </c>
      <c r="C142" s="36" t="s">
        <v>149</v>
      </c>
      <c r="D142" s="55"/>
      <c r="E142" s="24">
        <v>7643784</v>
      </c>
      <c r="F142" s="56"/>
      <c r="G142" s="24">
        <v>7643784</v>
      </c>
      <c r="H142" s="37">
        <v>0</v>
      </c>
      <c r="I142" s="37">
        <v>353395</v>
      </c>
      <c r="J142" s="37">
        <v>65421.31</v>
      </c>
      <c r="K142" s="18">
        <f t="shared" si="17"/>
        <v>7224967.6900000004</v>
      </c>
      <c r="L142" s="19">
        <f t="shared" si="18"/>
        <v>26753244</v>
      </c>
      <c r="M142" s="20"/>
      <c r="N142" s="20"/>
      <c r="O142" s="2"/>
      <c r="P142" s="13"/>
      <c r="Q142" s="13"/>
      <c r="R142" s="14"/>
      <c r="S142" s="14"/>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row>
    <row r="143" spans="2:63" ht="12.95" hidden="1" customHeight="1" x14ac:dyDescent="0.25">
      <c r="B143" s="16">
        <v>42320</v>
      </c>
      <c r="C143" s="36" t="s">
        <v>150</v>
      </c>
      <c r="D143" s="55"/>
      <c r="E143" s="24">
        <v>7643784</v>
      </c>
      <c r="F143" s="56"/>
      <c r="G143" s="24">
        <v>7643784</v>
      </c>
      <c r="H143" s="37">
        <v>0</v>
      </c>
      <c r="I143" s="37">
        <v>353395</v>
      </c>
      <c r="J143" s="37">
        <v>65421.31</v>
      </c>
      <c r="K143" s="18">
        <f t="shared" si="17"/>
        <v>7224967.6900000004</v>
      </c>
      <c r="L143" s="19">
        <f t="shared" si="18"/>
        <v>19109460</v>
      </c>
      <c r="M143" s="20"/>
      <c r="N143" s="20"/>
      <c r="O143" s="2"/>
      <c r="P143" s="13"/>
      <c r="Q143" s="13"/>
      <c r="R143" s="14"/>
      <c r="S143" s="14"/>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row>
    <row r="144" spans="2:63" ht="12.95" hidden="1" customHeight="1" x14ac:dyDescent="0.25">
      <c r="B144" s="16">
        <v>42355</v>
      </c>
      <c r="C144" s="36" t="s">
        <v>151</v>
      </c>
      <c r="D144" s="55"/>
      <c r="E144" s="24">
        <v>7643784</v>
      </c>
      <c r="F144" s="56"/>
      <c r="G144" s="24">
        <v>7643784</v>
      </c>
      <c r="H144" s="37">
        <v>0</v>
      </c>
      <c r="I144" s="37">
        <v>353395</v>
      </c>
      <c r="J144" s="37">
        <v>65421.31</v>
      </c>
      <c r="K144" s="18">
        <f t="shared" si="17"/>
        <v>7224967.6900000004</v>
      </c>
      <c r="L144" s="19">
        <f t="shared" si="18"/>
        <v>11465676</v>
      </c>
      <c r="M144" s="20"/>
      <c r="N144" s="20"/>
      <c r="O144" s="2"/>
      <c r="P144" s="13"/>
      <c r="Q144" s="13"/>
      <c r="R144" s="14"/>
      <c r="S144" s="14"/>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row>
    <row r="145" spans="2:63" ht="12.95" hidden="1" customHeight="1" x14ac:dyDescent="0.25">
      <c r="B145" s="16">
        <v>42367</v>
      </c>
      <c r="C145" s="36" t="s">
        <v>152</v>
      </c>
      <c r="D145" s="55"/>
      <c r="E145" s="24">
        <v>7643784</v>
      </c>
      <c r="F145" s="56"/>
      <c r="G145" s="24">
        <v>7643784</v>
      </c>
      <c r="H145" s="37">
        <v>0</v>
      </c>
      <c r="I145" s="37">
        <v>1389327.05</v>
      </c>
      <c r="J145" s="37">
        <v>65421.31</v>
      </c>
      <c r="K145" s="18">
        <f t="shared" si="17"/>
        <v>6189035.6400000006</v>
      </c>
      <c r="L145" s="19">
        <f t="shared" si="18"/>
        <v>3821892</v>
      </c>
      <c r="M145" s="20"/>
      <c r="N145" s="20"/>
      <c r="O145" s="2"/>
      <c r="P145" s="13"/>
      <c r="Q145" s="13"/>
      <c r="R145" s="14"/>
      <c r="S145" s="14"/>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row>
    <row r="146" spans="2:63" ht="12.95" hidden="1" customHeight="1" x14ac:dyDescent="0.25">
      <c r="B146" s="16">
        <v>42403</v>
      </c>
      <c r="C146" s="36" t="s">
        <v>153</v>
      </c>
      <c r="D146" s="55"/>
      <c r="E146" s="24">
        <v>3821892</v>
      </c>
      <c r="F146" s="56"/>
      <c r="G146" s="24">
        <f>+E146</f>
        <v>3821892</v>
      </c>
      <c r="H146" s="37">
        <v>0</v>
      </c>
      <c r="I146" s="37">
        <v>0</v>
      </c>
      <c r="J146" s="37">
        <v>32710.66</v>
      </c>
      <c r="K146" s="18">
        <f t="shared" si="17"/>
        <v>3789181.34</v>
      </c>
      <c r="L146" s="19">
        <f t="shared" si="18"/>
        <v>0</v>
      </c>
      <c r="M146" s="20"/>
      <c r="N146" s="20"/>
      <c r="O146" s="2"/>
      <c r="P146" s="13"/>
      <c r="Q146" s="13"/>
      <c r="R146" s="14"/>
      <c r="S146" s="14"/>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row>
    <row r="147" spans="2:63" ht="12.95" hidden="1" customHeight="1" x14ac:dyDescent="0.25">
      <c r="B147" s="9" t="s">
        <v>154</v>
      </c>
      <c r="C147" s="10"/>
      <c r="D147" s="10">
        <v>85160400</v>
      </c>
      <c r="E147" s="11">
        <f>+D147</f>
        <v>85160400</v>
      </c>
      <c r="F147" s="11"/>
      <c r="G147" s="11"/>
      <c r="H147" s="11"/>
      <c r="I147" s="11"/>
      <c r="J147" s="11"/>
      <c r="K147" s="11"/>
      <c r="L147" s="11">
        <f>+D147</f>
        <v>85160400</v>
      </c>
      <c r="M147" s="12"/>
      <c r="N147" s="12"/>
      <c r="O147" s="2"/>
      <c r="P147" s="13"/>
      <c r="Q147" s="13"/>
      <c r="R147" s="14"/>
      <c r="S147" s="14"/>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row>
    <row r="148" spans="2:63" ht="12.95" hidden="1" customHeight="1" x14ac:dyDescent="0.25">
      <c r="B148" s="16">
        <v>42241</v>
      </c>
      <c r="C148" s="36" t="s">
        <v>155</v>
      </c>
      <c r="D148" s="34"/>
      <c r="E148" s="18">
        <v>8034000</v>
      </c>
      <c r="F148" s="18"/>
      <c r="G148" s="18">
        <v>8034000</v>
      </c>
      <c r="H148" s="18">
        <v>166220.70000000001</v>
      </c>
      <c r="I148" s="18">
        <v>1470918.72</v>
      </c>
      <c r="J148" s="18">
        <v>59276.79</v>
      </c>
      <c r="K148" s="18">
        <f t="shared" ref="K148:K159" si="19">+G148-H148-I148-J148</f>
        <v>6337583.79</v>
      </c>
      <c r="L148" s="19">
        <f t="shared" ref="L148:L159" si="20">+L147-G148</f>
        <v>77126400</v>
      </c>
      <c r="M148" s="20"/>
      <c r="N148" s="20"/>
      <c r="O148" s="2"/>
      <c r="P148" s="13"/>
      <c r="Q148" s="13"/>
      <c r="R148" s="14"/>
      <c r="S148" s="14"/>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row>
    <row r="149" spans="2:63" ht="12.95" hidden="1" customHeight="1" x14ac:dyDescent="0.25">
      <c r="B149" s="16">
        <v>42241</v>
      </c>
      <c r="C149" s="36" t="s">
        <v>156</v>
      </c>
      <c r="D149" s="34"/>
      <c r="E149" s="18">
        <v>8034000</v>
      </c>
      <c r="F149" s="18"/>
      <c r="G149" s="18">
        <v>8034000</v>
      </c>
      <c r="H149" s="18">
        <v>166220.70000000001</v>
      </c>
      <c r="I149" s="18">
        <v>1515148.92</v>
      </c>
      <c r="J149" s="18">
        <v>59276.79</v>
      </c>
      <c r="K149" s="18">
        <f t="shared" si="19"/>
        <v>6293353.5899999999</v>
      </c>
      <c r="L149" s="19">
        <f t="shared" si="20"/>
        <v>69092400</v>
      </c>
      <c r="M149" s="20"/>
      <c r="N149" s="20"/>
      <c r="O149" s="2"/>
      <c r="P149" s="13"/>
      <c r="Q149" s="13"/>
      <c r="R149" s="14"/>
      <c r="S149" s="14"/>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row>
    <row r="150" spans="2:63" ht="12.95" hidden="1" customHeight="1" x14ac:dyDescent="0.25">
      <c r="B150" s="16">
        <v>42241</v>
      </c>
      <c r="C150" s="36" t="s">
        <v>157</v>
      </c>
      <c r="D150" s="34"/>
      <c r="E150" s="18">
        <v>8034000</v>
      </c>
      <c r="F150" s="18"/>
      <c r="G150" s="18">
        <v>8034000</v>
      </c>
      <c r="H150" s="56">
        <v>166220.70000000001</v>
      </c>
      <c r="I150" s="56">
        <v>1285580.8700000001</v>
      </c>
      <c r="J150" s="56">
        <v>59276.79</v>
      </c>
      <c r="K150" s="18">
        <f t="shared" si="19"/>
        <v>6522921.6399999997</v>
      </c>
      <c r="L150" s="19">
        <f t="shared" si="20"/>
        <v>61058400</v>
      </c>
      <c r="M150" s="20"/>
      <c r="N150" s="20"/>
      <c r="O150" s="2"/>
      <c r="P150" s="13"/>
      <c r="Q150" s="13"/>
      <c r="R150" s="14"/>
      <c r="S150" s="14"/>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row>
    <row r="151" spans="2:63" ht="12.95" hidden="1" customHeight="1" x14ac:dyDescent="0.25">
      <c r="B151" s="16">
        <v>42241</v>
      </c>
      <c r="C151" s="36" t="s">
        <v>158</v>
      </c>
      <c r="D151" s="34"/>
      <c r="E151" s="18">
        <v>8034000</v>
      </c>
      <c r="F151" s="18"/>
      <c r="G151" s="18">
        <v>8034000</v>
      </c>
      <c r="H151" s="56">
        <v>166220.70000000001</v>
      </c>
      <c r="I151" s="56">
        <v>380652.93</v>
      </c>
      <c r="J151" s="56">
        <v>59276.79</v>
      </c>
      <c r="K151" s="18">
        <f t="shared" si="19"/>
        <v>7427849.5800000001</v>
      </c>
      <c r="L151" s="19">
        <f t="shared" si="20"/>
        <v>53024400</v>
      </c>
      <c r="M151" s="20"/>
      <c r="N151" s="20"/>
      <c r="O151" s="2"/>
      <c r="P151" s="13"/>
      <c r="Q151" s="13"/>
      <c r="R151" s="14"/>
      <c r="S151" s="14"/>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row>
    <row r="152" spans="2:63" ht="12.95" hidden="1" customHeight="1" x14ac:dyDescent="0.25">
      <c r="B152" s="16">
        <v>42320</v>
      </c>
      <c r="C152" s="36" t="s">
        <v>159</v>
      </c>
      <c r="D152" s="34"/>
      <c r="E152" s="18">
        <v>8034000</v>
      </c>
      <c r="F152" s="18"/>
      <c r="G152" s="18">
        <v>8034000</v>
      </c>
      <c r="H152" s="56">
        <v>166220.70000000001</v>
      </c>
      <c r="I152" s="56">
        <v>1285580.8700000001</v>
      </c>
      <c r="J152" s="56">
        <v>59276.79</v>
      </c>
      <c r="K152" s="18">
        <f t="shared" si="19"/>
        <v>6522921.6399999997</v>
      </c>
      <c r="L152" s="19">
        <f t="shared" si="20"/>
        <v>44990400</v>
      </c>
      <c r="M152" s="20"/>
      <c r="N152" s="20"/>
      <c r="O152" s="2"/>
      <c r="P152" s="13"/>
      <c r="Q152" s="13"/>
      <c r="R152" s="14"/>
      <c r="S152" s="14"/>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row>
    <row r="153" spans="2:63" ht="12.95" hidden="1" customHeight="1" x14ac:dyDescent="0.25">
      <c r="B153" s="16">
        <v>42320</v>
      </c>
      <c r="C153" s="36" t="s">
        <v>160</v>
      </c>
      <c r="D153" s="34"/>
      <c r="E153" s="18">
        <v>8034000</v>
      </c>
      <c r="F153" s="18"/>
      <c r="G153" s="18">
        <v>8034000</v>
      </c>
      <c r="H153" s="56">
        <v>166220.70000000001</v>
      </c>
      <c r="I153" s="56">
        <v>380652.93</v>
      </c>
      <c r="J153" s="56">
        <v>59276.79</v>
      </c>
      <c r="K153" s="18">
        <f t="shared" si="19"/>
        <v>7427849.5800000001</v>
      </c>
      <c r="L153" s="19">
        <f t="shared" si="20"/>
        <v>36956400</v>
      </c>
      <c r="M153" s="20"/>
      <c r="N153" s="20"/>
      <c r="O153" s="2"/>
      <c r="P153" s="13"/>
      <c r="Q153" s="13"/>
      <c r="R153" s="14"/>
      <c r="S153" s="14"/>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row>
    <row r="154" spans="2:63" ht="12.95" hidden="1" customHeight="1" x14ac:dyDescent="0.25">
      <c r="B154" s="16">
        <v>42320</v>
      </c>
      <c r="C154" s="36" t="s">
        <v>161</v>
      </c>
      <c r="D154" s="34"/>
      <c r="E154" s="18">
        <v>8034000</v>
      </c>
      <c r="F154" s="18"/>
      <c r="G154" s="18">
        <v>8034000</v>
      </c>
      <c r="H154" s="56">
        <v>166220.70000000001</v>
      </c>
      <c r="I154" s="56">
        <v>1470918.72</v>
      </c>
      <c r="J154" s="56">
        <v>59276.79</v>
      </c>
      <c r="K154" s="18">
        <f t="shared" si="19"/>
        <v>6337583.79</v>
      </c>
      <c r="L154" s="19">
        <f t="shared" si="20"/>
        <v>28922400</v>
      </c>
      <c r="M154" s="20"/>
      <c r="N154" s="20"/>
      <c r="O154" s="2"/>
      <c r="P154" s="13"/>
      <c r="Q154" s="13"/>
      <c r="R154" s="14"/>
      <c r="S154" s="14"/>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row>
    <row r="155" spans="2:63" ht="12.95" hidden="1" customHeight="1" x14ac:dyDescent="0.25">
      <c r="B155" s="16">
        <v>42347</v>
      </c>
      <c r="C155" s="36" t="s">
        <v>162</v>
      </c>
      <c r="D155" s="34"/>
      <c r="E155" s="18">
        <v>8034000</v>
      </c>
      <c r="F155" s="18"/>
      <c r="G155" s="18">
        <v>8034000</v>
      </c>
      <c r="H155" s="56">
        <v>166220.70000000001</v>
      </c>
      <c r="I155" s="56">
        <v>378825.91</v>
      </c>
      <c r="J155" s="56">
        <v>59276.79</v>
      </c>
      <c r="K155" s="18">
        <f t="shared" si="19"/>
        <v>7429676.5999999996</v>
      </c>
      <c r="L155" s="19">
        <f t="shared" si="20"/>
        <v>20888400</v>
      </c>
      <c r="M155" s="20"/>
      <c r="N155" s="20"/>
      <c r="O155" s="2"/>
      <c r="P155" s="13"/>
      <c r="Q155" s="13"/>
      <c r="R155" s="14"/>
      <c r="S155" s="14"/>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row>
    <row r="156" spans="2:63" ht="12.95" hidden="1" customHeight="1" x14ac:dyDescent="0.25">
      <c r="B156" s="16">
        <v>42345</v>
      </c>
      <c r="C156" s="36" t="s">
        <v>163</v>
      </c>
      <c r="D156" s="34"/>
      <c r="E156" s="18">
        <v>8034000</v>
      </c>
      <c r="F156" s="18"/>
      <c r="G156" s="18">
        <v>8034000</v>
      </c>
      <c r="H156" s="56">
        <v>166220.70000000001</v>
      </c>
      <c r="I156" s="56">
        <v>1287407.8899999999</v>
      </c>
      <c r="J156" s="56">
        <v>59276.79</v>
      </c>
      <c r="K156" s="18">
        <f t="shared" si="19"/>
        <v>6521094.6200000001</v>
      </c>
      <c r="L156" s="19">
        <f t="shared" si="20"/>
        <v>12854400</v>
      </c>
      <c r="M156" s="20"/>
      <c r="N156" s="20"/>
      <c r="O156" s="2"/>
      <c r="P156" s="13"/>
      <c r="Q156" s="13"/>
      <c r="R156" s="14"/>
      <c r="S156" s="14"/>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row>
    <row r="157" spans="2:63" ht="12.95" hidden="1" customHeight="1" x14ac:dyDescent="0.25">
      <c r="B157" s="16">
        <v>42377</v>
      </c>
      <c r="C157" s="36" t="s">
        <v>164</v>
      </c>
      <c r="D157" s="34"/>
      <c r="E157" s="18">
        <v>8034000</v>
      </c>
      <c r="F157" s="18"/>
      <c r="G157" s="18">
        <f>+E157</f>
        <v>8034000</v>
      </c>
      <c r="H157" s="56">
        <v>166220.70000000001</v>
      </c>
      <c r="I157" s="56">
        <v>333484.92</v>
      </c>
      <c r="J157" s="56">
        <v>59276.79</v>
      </c>
      <c r="K157" s="18">
        <f t="shared" si="19"/>
        <v>7475017.5899999999</v>
      </c>
      <c r="L157" s="19">
        <f t="shared" si="20"/>
        <v>4820400</v>
      </c>
      <c r="M157" s="20"/>
      <c r="N157" s="20"/>
      <c r="O157" s="2"/>
      <c r="P157" s="13"/>
      <c r="Q157" s="13"/>
      <c r="R157" s="14"/>
      <c r="S157" s="14"/>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row>
    <row r="158" spans="2:63" ht="12.95" hidden="1" customHeight="1" x14ac:dyDescent="0.25">
      <c r="B158" s="16">
        <v>42403</v>
      </c>
      <c r="C158" s="36" t="s">
        <v>165</v>
      </c>
      <c r="D158" s="34"/>
      <c r="E158" s="18">
        <v>3749200</v>
      </c>
      <c r="F158" s="18"/>
      <c r="G158" s="18">
        <f>+E158</f>
        <v>3749200</v>
      </c>
      <c r="H158" s="56">
        <v>77569.649999999994</v>
      </c>
      <c r="I158" s="56">
        <v>0</v>
      </c>
      <c r="J158" s="56">
        <v>27662.5</v>
      </c>
      <c r="K158" s="18">
        <f t="shared" si="19"/>
        <v>3643967.85</v>
      </c>
      <c r="L158" s="19">
        <f t="shared" si="20"/>
        <v>1071200</v>
      </c>
      <c r="M158" s="20"/>
      <c r="N158" s="20"/>
      <c r="O158" s="2"/>
      <c r="P158" s="13"/>
      <c r="Q158" s="13"/>
      <c r="R158" s="14"/>
      <c r="S158" s="14"/>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row>
    <row r="159" spans="2:63" ht="12.95" hidden="1" customHeight="1" x14ac:dyDescent="0.25">
      <c r="B159" s="16">
        <v>42403</v>
      </c>
      <c r="C159" s="36" t="s">
        <v>166</v>
      </c>
      <c r="D159" s="34"/>
      <c r="E159" s="18">
        <v>1071200</v>
      </c>
      <c r="F159" s="18"/>
      <c r="G159" s="18">
        <f>+E159</f>
        <v>1071200</v>
      </c>
      <c r="H159" s="56">
        <v>0</v>
      </c>
      <c r="I159" s="56">
        <v>0</v>
      </c>
      <c r="J159" s="56">
        <v>0</v>
      </c>
      <c r="K159" s="18">
        <f t="shared" si="19"/>
        <v>1071200</v>
      </c>
      <c r="L159" s="19">
        <f t="shared" si="20"/>
        <v>0</v>
      </c>
      <c r="M159" s="20"/>
      <c r="N159" s="20"/>
      <c r="O159" s="2"/>
      <c r="P159" s="13"/>
      <c r="Q159" s="13"/>
      <c r="R159" s="14"/>
      <c r="S159" s="14"/>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row>
    <row r="160" spans="2:63" ht="12.95" hidden="1" customHeight="1" x14ac:dyDescent="0.25">
      <c r="B160" s="9" t="s">
        <v>167</v>
      </c>
      <c r="C160" s="10"/>
      <c r="D160" s="10">
        <v>51100000</v>
      </c>
      <c r="E160" s="11">
        <f>+D160</f>
        <v>51100000</v>
      </c>
      <c r="F160" s="11"/>
      <c r="G160" s="11"/>
      <c r="H160" s="11"/>
      <c r="I160" s="11"/>
      <c r="J160" s="11"/>
      <c r="K160" s="11"/>
      <c r="L160" s="11">
        <f>+D160</f>
        <v>51100000</v>
      </c>
      <c r="M160" s="12"/>
      <c r="N160" s="12"/>
      <c r="P160" s="55"/>
      <c r="Q160" s="55"/>
      <c r="R160" s="14"/>
      <c r="S160" s="14"/>
    </row>
    <row r="161" spans="2:19" ht="12.95" hidden="1" customHeight="1" x14ac:dyDescent="0.25">
      <c r="B161" s="16">
        <v>42241</v>
      </c>
      <c r="C161" s="36" t="s">
        <v>155</v>
      </c>
      <c r="D161" s="34"/>
      <c r="E161" s="18">
        <v>7300000</v>
      </c>
      <c r="F161" s="18"/>
      <c r="G161" s="18">
        <v>7300000</v>
      </c>
      <c r="H161" s="18">
        <v>0</v>
      </c>
      <c r="I161" s="18">
        <v>290686.01</v>
      </c>
      <c r="J161" s="18">
        <v>62478.95</v>
      </c>
      <c r="K161" s="18">
        <f t="shared" ref="K161:K168" si="21">+G161-H161-I161-J161</f>
        <v>6946835.04</v>
      </c>
      <c r="L161" s="19">
        <f t="shared" ref="L161:L168" si="22">+L160-G161</f>
        <v>43800000</v>
      </c>
      <c r="M161" s="20"/>
      <c r="N161" s="20"/>
      <c r="P161" s="55"/>
      <c r="Q161" s="55"/>
      <c r="R161" s="14"/>
      <c r="S161" s="14"/>
    </row>
    <row r="162" spans="2:19" ht="12.95" hidden="1" customHeight="1" x14ac:dyDescent="0.25">
      <c r="B162" s="16">
        <v>42269</v>
      </c>
      <c r="C162" s="36" t="s">
        <v>168</v>
      </c>
      <c r="D162" s="34"/>
      <c r="E162" s="18">
        <v>7300000</v>
      </c>
      <c r="F162" s="18"/>
      <c r="G162" s="18">
        <v>7300000</v>
      </c>
      <c r="H162" s="24">
        <v>0</v>
      </c>
      <c r="I162" s="24">
        <v>290686.01</v>
      </c>
      <c r="J162" s="49">
        <v>62478.95</v>
      </c>
      <c r="K162" s="18">
        <f t="shared" si="21"/>
        <v>6946835.04</v>
      </c>
      <c r="L162" s="19">
        <f t="shared" si="22"/>
        <v>36500000</v>
      </c>
      <c r="M162" s="20"/>
      <c r="N162" s="20"/>
      <c r="P162" s="55"/>
      <c r="Q162" s="55"/>
      <c r="R162" s="14"/>
      <c r="S162" s="14"/>
    </row>
    <row r="163" spans="2:19" ht="12.95" hidden="1" customHeight="1" x14ac:dyDescent="0.25">
      <c r="B163" s="16">
        <v>42320</v>
      </c>
      <c r="C163" s="36" t="s">
        <v>169</v>
      </c>
      <c r="D163" s="34"/>
      <c r="E163" s="18">
        <v>7300000</v>
      </c>
      <c r="F163" s="18"/>
      <c r="G163" s="18">
        <v>7300000</v>
      </c>
      <c r="H163" s="37">
        <v>0</v>
      </c>
      <c r="I163" s="37">
        <v>290686.01</v>
      </c>
      <c r="J163" s="37">
        <v>62478.95</v>
      </c>
      <c r="K163" s="18">
        <f t="shared" si="21"/>
        <v>6946835.04</v>
      </c>
      <c r="L163" s="19">
        <f t="shared" si="22"/>
        <v>29200000</v>
      </c>
      <c r="M163" s="20"/>
      <c r="N163" s="20"/>
      <c r="P163" s="55"/>
      <c r="Q163" s="55"/>
      <c r="R163" s="14"/>
      <c r="S163" s="14"/>
    </row>
    <row r="164" spans="2:19" ht="12.95" hidden="1" customHeight="1" x14ac:dyDescent="0.25">
      <c r="B164" s="16">
        <v>42361</v>
      </c>
      <c r="C164" s="36" t="s">
        <v>170</v>
      </c>
      <c r="D164" s="34"/>
      <c r="E164" s="18">
        <v>7300000</v>
      </c>
      <c r="F164" s="18"/>
      <c r="G164" s="18">
        <v>7300000</v>
      </c>
      <c r="H164" s="37">
        <v>0</v>
      </c>
      <c r="I164" s="37">
        <v>1312179.1100000001</v>
      </c>
      <c r="J164" s="37">
        <v>62478.95</v>
      </c>
      <c r="K164" s="18">
        <f t="shared" si="21"/>
        <v>5925341.9399999995</v>
      </c>
      <c r="L164" s="19">
        <f t="shared" si="22"/>
        <v>21900000</v>
      </c>
      <c r="M164" s="20"/>
      <c r="N164" s="20"/>
      <c r="P164" s="55"/>
      <c r="Q164" s="55"/>
      <c r="R164" s="14"/>
      <c r="S164" s="14"/>
    </row>
    <row r="165" spans="2:19" ht="12.95" hidden="1" customHeight="1" x14ac:dyDescent="0.25">
      <c r="B165" s="16">
        <v>42361</v>
      </c>
      <c r="C165" s="36" t="s">
        <v>171</v>
      </c>
      <c r="D165" s="34"/>
      <c r="E165" s="18">
        <v>7300000</v>
      </c>
      <c r="F165" s="18"/>
      <c r="G165" s="18">
        <v>7300000</v>
      </c>
      <c r="H165" s="37">
        <v>0</v>
      </c>
      <c r="I165" s="37">
        <v>290686.01</v>
      </c>
      <c r="J165" s="37">
        <v>62478.95</v>
      </c>
      <c r="K165" s="18">
        <f t="shared" si="21"/>
        <v>6946835.04</v>
      </c>
      <c r="L165" s="19">
        <f t="shared" si="22"/>
        <v>14600000</v>
      </c>
      <c r="M165" s="20"/>
      <c r="N165" s="20"/>
      <c r="P165" s="55"/>
      <c r="Q165" s="55"/>
      <c r="R165" s="14"/>
      <c r="S165" s="14"/>
    </row>
    <row r="166" spans="2:19" ht="12.95" hidden="1" customHeight="1" x14ac:dyDescent="0.25">
      <c r="B166" s="16">
        <v>42403</v>
      </c>
      <c r="C166" s="36" t="s">
        <v>172</v>
      </c>
      <c r="D166" s="34"/>
      <c r="E166" s="18">
        <v>7300000</v>
      </c>
      <c r="F166" s="18"/>
      <c r="G166" s="18">
        <v>7300000</v>
      </c>
      <c r="H166" s="37">
        <v>0</v>
      </c>
      <c r="I166" s="37">
        <v>274267.84999999998</v>
      </c>
      <c r="J166" s="37">
        <v>62478.95</v>
      </c>
      <c r="K166" s="18">
        <f t="shared" si="21"/>
        <v>6963253.2000000002</v>
      </c>
      <c r="L166" s="19">
        <f t="shared" si="22"/>
        <v>7300000</v>
      </c>
      <c r="M166" s="20"/>
      <c r="N166" s="20"/>
      <c r="P166" s="55"/>
      <c r="Q166" s="55"/>
      <c r="R166" s="14"/>
      <c r="S166" s="14"/>
    </row>
    <row r="167" spans="2:19" ht="12.95" hidden="1" customHeight="1" x14ac:dyDescent="0.25">
      <c r="B167" s="16">
        <v>42403</v>
      </c>
      <c r="C167" s="36" t="s">
        <v>173</v>
      </c>
      <c r="D167" s="34"/>
      <c r="E167" s="18">
        <v>2190000</v>
      </c>
      <c r="F167" s="18"/>
      <c r="G167" s="18">
        <f>+E167</f>
        <v>2190000</v>
      </c>
      <c r="H167" s="37">
        <v>0</v>
      </c>
      <c r="I167" s="37">
        <v>330731.55</v>
      </c>
      <c r="J167" s="37">
        <v>18743.68</v>
      </c>
      <c r="K167" s="18">
        <f t="shared" si="21"/>
        <v>1840524.77</v>
      </c>
      <c r="L167" s="19">
        <f t="shared" si="22"/>
        <v>5110000</v>
      </c>
      <c r="M167" s="20"/>
      <c r="N167" s="20"/>
      <c r="P167" s="55"/>
      <c r="Q167" s="55"/>
      <c r="R167" s="14"/>
      <c r="S167" s="14"/>
    </row>
    <row r="168" spans="2:19" ht="12.95" hidden="1" customHeight="1" x14ac:dyDescent="0.25">
      <c r="B168" s="16">
        <v>42403</v>
      </c>
      <c r="C168" s="36" t="s">
        <v>24</v>
      </c>
      <c r="D168" s="34"/>
      <c r="E168" s="18">
        <v>5110000</v>
      </c>
      <c r="F168" s="18"/>
      <c r="G168" s="18">
        <f>+E168</f>
        <v>5110000</v>
      </c>
      <c r="H168" s="37">
        <v>0</v>
      </c>
      <c r="I168" s="37">
        <v>0</v>
      </c>
      <c r="J168" s="37">
        <v>0</v>
      </c>
      <c r="K168" s="18">
        <f t="shared" si="21"/>
        <v>5110000</v>
      </c>
      <c r="L168" s="19">
        <f t="shared" si="22"/>
        <v>0</v>
      </c>
      <c r="M168" s="20"/>
      <c r="N168" s="20"/>
      <c r="P168" s="55"/>
      <c r="Q168" s="55"/>
      <c r="R168" s="14"/>
      <c r="S168" s="14"/>
    </row>
    <row r="169" spans="2:19" ht="12.95" hidden="1" customHeight="1" x14ac:dyDescent="0.25">
      <c r="B169" s="9" t="s">
        <v>174</v>
      </c>
      <c r="C169" s="10"/>
      <c r="D169" s="10">
        <v>42900000</v>
      </c>
      <c r="E169" s="11">
        <f>+D169</f>
        <v>42900000</v>
      </c>
      <c r="F169" s="11"/>
      <c r="G169" s="11"/>
      <c r="H169" s="11"/>
      <c r="I169" s="11"/>
      <c r="J169" s="11"/>
      <c r="K169" s="11"/>
      <c r="L169" s="11">
        <f>+D169</f>
        <v>42900000</v>
      </c>
      <c r="M169" s="12"/>
      <c r="N169" s="12"/>
      <c r="P169" s="55"/>
      <c r="Q169" s="55"/>
      <c r="R169" s="14"/>
      <c r="S169" s="14"/>
    </row>
    <row r="170" spans="2:19" ht="12.95" hidden="1" customHeight="1" x14ac:dyDescent="0.25">
      <c r="B170" s="16">
        <v>42275</v>
      </c>
      <c r="C170" s="36" t="s">
        <v>175</v>
      </c>
      <c r="D170" s="34"/>
      <c r="E170" s="49">
        <v>7800000</v>
      </c>
      <c r="F170" s="18"/>
      <c r="G170" s="49">
        <f t="shared" ref="G170:G175" si="23">+E170</f>
        <v>7800000</v>
      </c>
      <c r="H170" s="37">
        <v>0</v>
      </c>
      <c r="I170" s="24">
        <v>553025.56999999995</v>
      </c>
      <c r="J170" s="49">
        <v>71580.600000000006</v>
      </c>
      <c r="K170" s="18">
        <f t="shared" ref="K170:K175" si="24">+G170-H170-I170-J170</f>
        <v>7175393.8300000001</v>
      </c>
      <c r="L170" s="19">
        <f t="shared" ref="L170:L175" si="25">+L169-G170</f>
        <v>35100000</v>
      </c>
      <c r="M170" s="20"/>
      <c r="N170" s="20"/>
      <c r="P170" s="55"/>
      <c r="Q170" s="55"/>
      <c r="R170" s="14"/>
      <c r="S170" s="14"/>
    </row>
    <row r="171" spans="2:19" ht="12.95" hidden="1" customHeight="1" x14ac:dyDescent="0.25">
      <c r="B171" s="16">
        <v>42408</v>
      </c>
      <c r="C171" s="36" t="s">
        <v>176</v>
      </c>
      <c r="D171" s="34"/>
      <c r="E171" s="49">
        <v>7800000</v>
      </c>
      <c r="F171" s="18"/>
      <c r="G171" s="49">
        <f t="shared" si="23"/>
        <v>7800000</v>
      </c>
      <c r="H171" s="37">
        <v>0</v>
      </c>
      <c r="I171" s="42">
        <v>500589.91</v>
      </c>
      <c r="J171" s="57">
        <v>71580.600000000006</v>
      </c>
      <c r="K171" s="18">
        <f t="shared" si="24"/>
        <v>7227829.4900000002</v>
      </c>
      <c r="L171" s="19">
        <f t="shared" si="25"/>
        <v>27300000</v>
      </c>
      <c r="M171" s="20"/>
      <c r="N171" s="20"/>
      <c r="P171" s="55"/>
      <c r="Q171" s="55"/>
      <c r="R171" s="14"/>
      <c r="S171" s="14"/>
    </row>
    <row r="172" spans="2:19" ht="12.95" hidden="1" customHeight="1" x14ac:dyDescent="0.25">
      <c r="B172" s="16">
        <v>42408</v>
      </c>
      <c r="C172" s="36" t="s">
        <v>177</v>
      </c>
      <c r="D172" s="34"/>
      <c r="E172" s="49">
        <v>7800000</v>
      </c>
      <c r="F172" s="18"/>
      <c r="G172" s="49">
        <f t="shared" si="23"/>
        <v>7800000</v>
      </c>
      <c r="H172" s="37">
        <v>0</v>
      </c>
      <c r="I172" s="37">
        <v>1874141.95</v>
      </c>
      <c r="J172" s="37">
        <v>71580.600000000006</v>
      </c>
      <c r="K172" s="18">
        <f t="shared" si="24"/>
        <v>5854277.4500000002</v>
      </c>
      <c r="L172" s="19">
        <f t="shared" si="25"/>
        <v>19500000</v>
      </c>
      <c r="M172" s="20"/>
      <c r="N172" s="20"/>
      <c r="P172" s="55"/>
      <c r="Q172" s="55"/>
      <c r="R172" s="14"/>
      <c r="S172" s="14"/>
    </row>
    <row r="173" spans="2:19" ht="12.95" hidden="1" customHeight="1" x14ac:dyDescent="0.25">
      <c r="B173" s="16">
        <v>42408</v>
      </c>
      <c r="C173" s="36" t="s">
        <v>178</v>
      </c>
      <c r="D173" s="34"/>
      <c r="E173" s="49">
        <v>7800000</v>
      </c>
      <c r="F173" s="18"/>
      <c r="G173" s="49">
        <f t="shared" si="23"/>
        <v>7800000</v>
      </c>
      <c r="H173" s="37">
        <v>0</v>
      </c>
      <c r="I173" s="37">
        <v>1559745.57</v>
      </c>
      <c r="J173" s="37">
        <v>71580.600000000006</v>
      </c>
      <c r="K173" s="18">
        <f t="shared" si="24"/>
        <v>6168673.8300000001</v>
      </c>
      <c r="L173" s="19">
        <f t="shared" si="25"/>
        <v>11700000</v>
      </c>
      <c r="M173" s="20"/>
      <c r="N173" s="20"/>
      <c r="P173" s="55"/>
      <c r="Q173" s="55"/>
      <c r="R173" s="14"/>
      <c r="S173" s="14"/>
    </row>
    <row r="174" spans="2:19" ht="12.95" hidden="1" customHeight="1" x14ac:dyDescent="0.25">
      <c r="B174" s="16">
        <v>42408</v>
      </c>
      <c r="C174" s="36" t="s">
        <v>179</v>
      </c>
      <c r="D174" s="34"/>
      <c r="E174" s="49">
        <v>7800000</v>
      </c>
      <c r="F174" s="18"/>
      <c r="G174" s="49">
        <f t="shared" si="23"/>
        <v>7800000</v>
      </c>
      <c r="H174" s="37">
        <v>0</v>
      </c>
      <c r="I174" s="37">
        <v>1829940.74</v>
      </c>
      <c r="J174" s="37">
        <v>71580.600000000006</v>
      </c>
      <c r="K174" s="18">
        <f t="shared" si="24"/>
        <v>5898478.6600000001</v>
      </c>
      <c r="L174" s="19">
        <f t="shared" si="25"/>
        <v>3900000</v>
      </c>
      <c r="M174" s="20"/>
      <c r="N174" s="20"/>
      <c r="P174" s="55"/>
      <c r="Q174" s="55"/>
      <c r="R174" s="14"/>
      <c r="S174" s="14"/>
    </row>
    <row r="175" spans="2:19" ht="12.95" hidden="1" customHeight="1" x14ac:dyDescent="0.25">
      <c r="B175" s="16">
        <v>42452</v>
      </c>
      <c r="C175" s="36" t="s">
        <v>180</v>
      </c>
      <c r="D175" s="34"/>
      <c r="E175" s="49">
        <v>3900000</v>
      </c>
      <c r="F175" s="18"/>
      <c r="G175" s="49">
        <f t="shared" si="23"/>
        <v>3900000</v>
      </c>
      <c r="H175" s="37"/>
      <c r="I175" s="37"/>
      <c r="J175" s="37">
        <v>35790.300000000003</v>
      </c>
      <c r="K175" s="18">
        <f t="shared" si="24"/>
        <v>3864209.7</v>
      </c>
      <c r="L175" s="19">
        <f t="shared" si="25"/>
        <v>0</v>
      </c>
      <c r="M175" s="20"/>
      <c r="N175" s="20"/>
      <c r="P175" s="55"/>
      <c r="Q175" s="55"/>
      <c r="R175" s="14"/>
      <c r="S175" s="14"/>
    </row>
    <row r="176" spans="2:19" ht="12.95" hidden="1" customHeight="1" x14ac:dyDescent="0.25">
      <c r="B176" s="9" t="s">
        <v>181</v>
      </c>
      <c r="C176" s="10"/>
      <c r="D176" s="10">
        <v>250000000</v>
      </c>
      <c r="E176" s="11">
        <f>+D176</f>
        <v>250000000</v>
      </c>
      <c r="F176" s="11"/>
      <c r="G176" s="11"/>
      <c r="H176" s="11"/>
      <c r="I176" s="11"/>
      <c r="J176" s="11"/>
      <c r="K176" s="11"/>
      <c r="L176" s="11">
        <f>+D176</f>
        <v>250000000</v>
      </c>
      <c r="M176" s="12"/>
      <c r="N176" s="12"/>
      <c r="P176" s="55"/>
      <c r="Q176" s="55"/>
      <c r="R176" s="14"/>
      <c r="S176" s="14"/>
    </row>
    <row r="177" spans="2:19" ht="12.95" hidden="1" customHeight="1" x14ac:dyDescent="0.25">
      <c r="B177" s="16">
        <v>42272</v>
      </c>
      <c r="C177" s="36" t="s">
        <v>182</v>
      </c>
      <c r="D177" s="34"/>
      <c r="E177" s="49">
        <v>100000000</v>
      </c>
      <c r="F177" s="18"/>
      <c r="G177" s="49">
        <v>100000000</v>
      </c>
      <c r="H177" s="24">
        <v>0</v>
      </c>
      <c r="I177" s="24">
        <v>0</v>
      </c>
      <c r="J177" s="49">
        <v>0</v>
      </c>
      <c r="K177" s="18">
        <f>+G177-H177-I177-J177</f>
        <v>100000000</v>
      </c>
      <c r="L177" s="19">
        <f>+L176-G177</f>
        <v>150000000</v>
      </c>
      <c r="M177" s="20"/>
      <c r="N177" s="20"/>
      <c r="P177" s="55"/>
      <c r="Q177" s="55"/>
      <c r="R177" s="14"/>
      <c r="S177" s="14"/>
    </row>
    <row r="178" spans="2:19" ht="12.95" hidden="1" customHeight="1" x14ac:dyDescent="0.25">
      <c r="B178" s="16">
        <v>42345</v>
      </c>
      <c r="C178" s="36" t="s">
        <v>183</v>
      </c>
      <c r="D178" s="34"/>
      <c r="E178" s="49">
        <v>75000000</v>
      </c>
      <c r="F178" s="18"/>
      <c r="G178" s="49">
        <v>75000000</v>
      </c>
      <c r="H178" s="24">
        <v>0</v>
      </c>
      <c r="I178" s="24">
        <v>0</v>
      </c>
      <c r="J178" s="49">
        <v>0</v>
      </c>
      <c r="K178" s="18">
        <f>+G178-H178-I178-J178</f>
        <v>75000000</v>
      </c>
      <c r="L178" s="19">
        <f>+L177-G178</f>
        <v>75000000</v>
      </c>
      <c r="M178" s="20"/>
      <c r="N178" s="20"/>
      <c r="P178" s="55"/>
      <c r="Q178" s="55"/>
      <c r="R178" s="14"/>
      <c r="S178" s="14"/>
    </row>
    <row r="179" spans="2:19" ht="12.95" hidden="1" customHeight="1" x14ac:dyDescent="0.25">
      <c r="B179" s="16">
        <v>42368</v>
      </c>
      <c r="C179" s="36" t="s">
        <v>184</v>
      </c>
      <c r="D179" s="34"/>
      <c r="E179" s="49">
        <v>75000000</v>
      </c>
      <c r="F179" s="18"/>
      <c r="G179" s="49">
        <f>+E179</f>
        <v>75000000</v>
      </c>
      <c r="H179" s="24">
        <v>0</v>
      </c>
      <c r="I179" s="24">
        <v>0</v>
      </c>
      <c r="J179" s="49">
        <v>0</v>
      </c>
      <c r="K179" s="18">
        <f>+G179-H179-I179-J179</f>
        <v>75000000</v>
      </c>
      <c r="L179" s="19">
        <f>+L178-G179</f>
        <v>0</v>
      </c>
      <c r="M179" s="20"/>
      <c r="N179" s="20"/>
      <c r="P179" s="55"/>
      <c r="Q179" s="55"/>
      <c r="R179" s="14"/>
      <c r="S179" s="14"/>
    </row>
    <row r="180" spans="2:19" ht="12.95" hidden="1" customHeight="1" x14ac:dyDescent="0.25">
      <c r="B180" s="9" t="s">
        <v>185</v>
      </c>
      <c r="C180" s="10"/>
      <c r="D180" s="10">
        <v>38101333</v>
      </c>
      <c r="E180" s="11">
        <f>+D180</f>
        <v>38101333</v>
      </c>
      <c r="F180" s="11"/>
      <c r="G180" s="11"/>
      <c r="H180" s="11"/>
      <c r="I180" s="11"/>
      <c r="J180" s="11"/>
      <c r="K180" s="11"/>
      <c r="L180" s="11">
        <f>+D180</f>
        <v>38101333</v>
      </c>
      <c r="M180" s="12"/>
      <c r="N180" s="12"/>
      <c r="P180" s="55"/>
      <c r="Q180" s="55"/>
      <c r="R180" s="14"/>
      <c r="S180" s="14"/>
    </row>
    <row r="181" spans="2:19" ht="12.95" hidden="1" customHeight="1" x14ac:dyDescent="0.25">
      <c r="B181" s="16">
        <v>42275</v>
      </c>
      <c r="C181" s="36" t="s">
        <v>186</v>
      </c>
      <c r="D181" s="34"/>
      <c r="E181" s="49">
        <v>6080000</v>
      </c>
      <c r="F181" s="18"/>
      <c r="G181" s="49">
        <v>6080000</v>
      </c>
      <c r="H181" s="24">
        <v>0</v>
      </c>
      <c r="I181" s="24">
        <v>305365.01</v>
      </c>
      <c r="J181" s="49">
        <v>55796.160000000003</v>
      </c>
      <c r="K181" s="18">
        <f t="shared" ref="K181:K187" si="26">+G181-H181-I181-J181</f>
        <v>5718838.8300000001</v>
      </c>
      <c r="L181" s="19">
        <f t="shared" ref="L181:L187" si="27">+L180-G181</f>
        <v>32021333</v>
      </c>
      <c r="M181" s="20"/>
      <c r="N181" s="20"/>
      <c r="P181" s="55"/>
      <c r="Q181" s="55"/>
      <c r="R181" s="14"/>
      <c r="S181" s="14"/>
    </row>
    <row r="182" spans="2:19" ht="12.95" hidden="1" customHeight="1" x14ac:dyDescent="0.25">
      <c r="B182" s="16">
        <v>42278</v>
      </c>
      <c r="C182" s="36" t="s">
        <v>187</v>
      </c>
      <c r="D182" s="34"/>
      <c r="E182" s="49">
        <v>6080000</v>
      </c>
      <c r="F182" s="18"/>
      <c r="G182" s="56">
        <f t="shared" ref="G182:G187" si="28">+E182</f>
        <v>6080000</v>
      </c>
      <c r="H182" s="37">
        <v>0</v>
      </c>
      <c r="I182" s="37">
        <v>1210292.98</v>
      </c>
      <c r="J182" s="37">
        <v>55796.160000000003</v>
      </c>
      <c r="K182" s="18">
        <f t="shared" si="26"/>
        <v>4813910.8599999994</v>
      </c>
      <c r="L182" s="19">
        <f t="shared" si="27"/>
        <v>25941333</v>
      </c>
      <c r="M182" s="20"/>
      <c r="N182" s="20"/>
      <c r="P182" s="55"/>
      <c r="Q182" s="55"/>
      <c r="R182" s="14"/>
      <c r="S182" s="14"/>
    </row>
    <row r="183" spans="2:19" ht="12.95" hidden="1" customHeight="1" x14ac:dyDescent="0.25">
      <c r="B183" s="16">
        <v>42405</v>
      </c>
      <c r="C183" s="36" t="s">
        <v>188</v>
      </c>
      <c r="D183" s="34"/>
      <c r="E183" s="49">
        <v>6080000</v>
      </c>
      <c r="F183" s="18"/>
      <c r="G183" s="56">
        <f t="shared" si="28"/>
        <v>6080000</v>
      </c>
      <c r="H183" s="37">
        <v>0</v>
      </c>
      <c r="I183" s="37">
        <v>324704.01</v>
      </c>
      <c r="J183" s="37">
        <v>58732.800000000003</v>
      </c>
      <c r="K183" s="18">
        <f t="shared" si="26"/>
        <v>5696563.1900000004</v>
      </c>
      <c r="L183" s="19">
        <f t="shared" si="27"/>
        <v>19861333</v>
      </c>
      <c r="M183" s="20"/>
      <c r="N183" s="20"/>
      <c r="P183" s="55"/>
      <c r="Q183" s="55"/>
      <c r="R183" s="14"/>
      <c r="S183" s="14"/>
    </row>
    <row r="184" spans="2:19" ht="12.95" hidden="1" customHeight="1" x14ac:dyDescent="0.25">
      <c r="B184" s="16">
        <v>42405</v>
      </c>
      <c r="C184" s="36" t="s">
        <v>189</v>
      </c>
      <c r="D184" s="34"/>
      <c r="E184" s="49">
        <v>6080000</v>
      </c>
      <c r="F184" s="18"/>
      <c r="G184" s="56">
        <f t="shared" si="28"/>
        <v>6080000</v>
      </c>
      <c r="H184" s="37">
        <v>0</v>
      </c>
      <c r="I184" s="37">
        <v>1276799.98</v>
      </c>
      <c r="J184" s="37">
        <v>58732.800000000003</v>
      </c>
      <c r="K184" s="18">
        <f t="shared" si="26"/>
        <v>4744467.22</v>
      </c>
      <c r="L184" s="19">
        <f t="shared" si="27"/>
        <v>13781333</v>
      </c>
      <c r="M184" s="20"/>
      <c r="N184" s="20"/>
      <c r="P184" s="55"/>
      <c r="Q184" s="55"/>
      <c r="R184" s="14"/>
      <c r="S184" s="14"/>
    </row>
    <row r="185" spans="2:19" ht="12.95" hidden="1" customHeight="1" x14ac:dyDescent="0.25">
      <c r="B185" s="16">
        <v>42439</v>
      </c>
      <c r="C185" s="36" t="s">
        <v>190</v>
      </c>
      <c r="D185" s="34"/>
      <c r="E185" s="49">
        <v>6080000</v>
      </c>
      <c r="F185" s="18"/>
      <c r="G185" s="56">
        <f t="shared" si="28"/>
        <v>6080000</v>
      </c>
      <c r="H185" s="37"/>
      <c r="I185" s="37">
        <v>324704.01</v>
      </c>
      <c r="J185" s="37">
        <v>58732.800000000003</v>
      </c>
      <c r="K185" s="18">
        <f t="shared" si="26"/>
        <v>5696563.1900000004</v>
      </c>
      <c r="L185" s="19">
        <f t="shared" si="27"/>
        <v>7701333</v>
      </c>
      <c r="M185" s="20"/>
      <c r="N185" s="20"/>
      <c r="P185" s="55"/>
      <c r="Q185" s="55"/>
      <c r="R185" s="14"/>
      <c r="S185" s="14"/>
    </row>
    <row r="186" spans="2:19" ht="12.95" hidden="1" customHeight="1" x14ac:dyDescent="0.25">
      <c r="B186" s="16">
        <v>42471</v>
      </c>
      <c r="C186" s="36" t="s">
        <v>191</v>
      </c>
      <c r="D186" s="34"/>
      <c r="E186" s="49">
        <v>6080000</v>
      </c>
      <c r="F186" s="18"/>
      <c r="G186" s="56">
        <f t="shared" si="28"/>
        <v>6080000</v>
      </c>
      <c r="H186" s="37">
        <v>0</v>
      </c>
      <c r="I186" s="37">
        <v>324704.01</v>
      </c>
      <c r="J186" s="37">
        <v>58732.800000000003</v>
      </c>
      <c r="K186" s="18">
        <f t="shared" si="26"/>
        <v>5696563.1900000004</v>
      </c>
      <c r="L186" s="19">
        <f t="shared" si="27"/>
        <v>1621333</v>
      </c>
      <c r="M186" s="20"/>
      <c r="N186" s="20"/>
      <c r="P186" s="55"/>
      <c r="Q186" s="55"/>
      <c r="R186" s="14"/>
      <c r="S186" s="14"/>
    </row>
    <row r="187" spans="2:19" ht="12.95" hidden="1" customHeight="1" x14ac:dyDescent="0.25">
      <c r="B187" s="16">
        <v>42471</v>
      </c>
      <c r="C187" s="36" t="s">
        <v>166</v>
      </c>
      <c r="D187" s="34"/>
      <c r="E187" s="49">
        <v>1621333</v>
      </c>
      <c r="F187" s="18"/>
      <c r="G187" s="56">
        <f t="shared" si="28"/>
        <v>1621333</v>
      </c>
      <c r="H187" s="37">
        <v>0</v>
      </c>
      <c r="I187" s="37">
        <v>0</v>
      </c>
      <c r="J187" s="37">
        <v>0</v>
      </c>
      <c r="K187" s="18">
        <f t="shared" si="26"/>
        <v>1621333</v>
      </c>
      <c r="L187" s="19">
        <f t="shared" si="27"/>
        <v>0</v>
      </c>
      <c r="M187" s="20"/>
      <c r="N187" s="20"/>
      <c r="P187" s="55"/>
      <c r="Q187" s="55"/>
      <c r="R187" s="14"/>
      <c r="S187" s="14"/>
    </row>
    <row r="188" spans="2:19" ht="12.95" hidden="1" customHeight="1" x14ac:dyDescent="0.25">
      <c r="B188" s="9" t="s">
        <v>192</v>
      </c>
      <c r="C188" s="10"/>
      <c r="D188" s="10">
        <v>422915000</v>
      </c>
      <c r="E188" s="11">
        <f>+D188</f>
        <v>422915000</v>
      </c>
      <c r="F188" s="11"/>
      <c r="G188" s="11"/>
      <c r="H188" s="11"/>
      <c r="I188" s="11"/>
      <c r="J188" s="11"/>
      <c r="K188" s="11"/>
      <c r="L188" s="11">
        <f>+D188</f>
        <v>422915000</v>
      </c>
      <c r="M188" s="12"/>
      <c r="N188" s="12"/>
      <c r="P188" s="55"/>
      <c r="Q188" s="55"/>
      <c r="R188" s="14"/>
      <c r="S188" s="14"/>
    </row>
    <row r="189" spans="2:19" ht="12.95" hidden="1" customHeight="1" x14ac:dyDescent="0.25">
      <c r="B189" s="16">
        <v>42283</v>
      </c>
      <c r="C189" s="36" t="s">
        <v>193</v>
      </c>
      <c r="D189" s="34"/>
      <c r="E189" s="49">
        <v>169166000</v>
      </c>
      <c r="F189" s="18"/>
      <c r="G189" s="49">
        <f>+E189</f>
        <v>169166000</v>
      </c>
      <c r="H189" s="37">
        <v>0</v>
      </c>
      <c r="I189" s="37">
        <v>0</v>
      </c>
      <c r="J189" s="37">
        <v>1634143.56</v>
      </c>
      <c r="K189" s="18">
        <f>+G189-H189-I189-J189</f>
        <v>167531856.44</v>
      </c>
      <c r="L189" s="19">
        <f>+L188-G189</f>
        <v>253749000</v>
      </c>
      <c r="M189" s="20"/>
      <c r="N189" s="20"/>
      <c r="P189" s="55"/>
      <c r="Q189" s="55"/>
      <c r="R189" s="14"/>
      <c r="S189" s="14"/>
    </row>
    <row r="190" spans="2:19" ht="12.95" hidden="1" customHeight="1" x14ac:dyDescent="0.25">
      <c r="B190" s="16">
        <v>42367</v>
      </c>
      <c r="C190" s="36" t="s">
        <v>194</v>
      </c>
      <c r="D190" s="34"/>
      <c r="E190" s="49">
        <v>126874500</v>
      </c>
      <c r="F190" s="18"/>
      <c r="G190" s="49">
        <f>+E190</f>
        <v>126874500</v>
      </c>
      <c r="H190" s="37">
        <v>0</v>
      </c>
      <c r="I190" s="37">
        <v>0</v>
      </c>
      <c r="J190" s="37">
        <v>1225607.67</v>
      </c>
      <c r="K190" s="18">
        <f>+G190-H190-I190-J190</f>
        <v>125648892.33</v>
      </c>
      <c r="L190" s="19">
        <f>+L189-G190</f>
        <v>126874500</v>
      </c>
      <c r="M190" s="20"/>
      <c r="N190" s="20"/>
      <c r="P190" s="55"/>
      <c r="Q190" s="55"/>
      <c r="R190" s="14"/>
      <c r="S190" s="14"/>
    </row>
    <row r="191" spans="2:19" ht="12.95" hidden="1" customHeight="1" x14ac:dyDescent="0.25">
      <c r="B191" s="16">
        <v>42376</v>
      </c>
      <c r="C191" s="36" t="s">
        <v>195</v>
      </c>
      <c r="D191" s="34"/>
      <c r="E191" s="49">
        <v>126874500</v>
      </c>
      <c r="F191" s="18"/>
      <c r="G191" s="49">
        <f>+E191</f>
        <v>126874500</v>
      </c>
      <c r="H191" s="37">
        <v>0</v>
      </c>
      <c r="I191" s="37">
        <v>0</v>
      </c>
      <c r="J191" s="37">
        <v>1225607.67</v>
      </c>
      <c r="K191" s="18">
        <f>+G191-H191-I191-J191</f>
        <v>125648892.33</v>
      </c>
      <c r="L191" s="19">
        <f>+L190-G191</f>
        <v>0</v>
      </c>
      <c r="M191" s="20"/>
      <c r="N191" s="20"/>
      <c r="P191" s="55"/>
      <c r="Q191" s="55"/>
      <c r="R191" s="14"/>
      <c r="S191" s="14"/>
    </row>
    <row r="192" spans="2:19" ht="12.95" hidden="1" customHeight="1" x14ac:dyDescent="0.25">
      <c r="B192" s="9" t="s">
        <v>196</v>
      </c>
      <c r="C192" s="10"/>
      <c r="D192" s="10">
        <v>60000000</v>
      </c>
      <c r="E192" s="11">
        <f>+D192</f>
        <v>60000000</v>
      </c>
      <c r="F192" s="11"/>
      <c r="G192" s="11"/>
      <c r="H192" s="11"/>
      <c r="I192" s="11"/>
      <c r="J192" s="11"/>
      <c r="K192" s="11"/>
      <c r="L192" s="11">
        <f>+D192</f>
        <v>60000000</v>
      </c>
      <c r="M192" s="12"/>
      <c r="N192" s="12"/>
      <c r="P192" s="55"/>
      <c r="Q192" s="55"/>
      <c r="R192" s="14"/>
      <c r="S192" s="14"/>
    </row>
    <row r="193" spans="2:19" ht="12.95" hidden="1" customHeight="1" x14ac:dyDescent="0.25">
      <c r="B193" s="16">
        <v>42283</v>
      </c>
      <c r="C193" s="36" t="s">
        <v>197</v>
      </c>
      <c r="D193" s="34"/>
      <c r="E193" s="49">
        <v>18000000</v>
      </c>
      <c r="F193" s="18"/>
      <c r="G193" s="49">
        <f>+E193</f>
        <v>18000000</v>
      </c>
      <c r="H193" s="37">
        <v>0</v>
      </c>
      <c r="I193" s="37">
        <v>0</v>
      </c>
      <c r="J193" s="37">
        <v>1634143.56</v>
      </c>
      <c r="K193" s="18">
        <f>+G193-H193-I193-J193</f>
        <v>16365856.439999999</v>
      </c>
      <c r="L193" s="19">
        <f>+L192-G193</f>
        <v>42000000</v>
      </c>
      <c r="M193" s="20"/>
      <c r="N193" s="20"/>
      <c r="P193" s="55"/>
      <c r="Q193" s="55"/>
      <c r="R193" s="14"/>
      <c r="S193" s="14"/>
    </row>
    <row r="194" spans="2:19" ht="12.95" hidden="1" customHeight="1" x14ac:dyDescent="0.25">
      <c r="B194" s="16">
        <v>42345</v>
      </c>
      <c r="C194" s="36" t="s">
        <v>198</v>
      </c>
      <c r="D194" s="34"/>
      <c r="E194" s="49">
        <v>18000000</v>
      </c>
      <c r="F194" s="18"/>
      <c r="G194" s="49">
        <f>+E194</f>
        <v>18000000</v>
      </c>
      <c r="H194" s="37">
        <v>0</v>
      </c>
      <c r="I194" s="37">
        <v>0</v>
      </c>
      <c r="J194" s="37">
        <v>149896.54999999999</v>
      </c>
      <c r="K194" s="18">
        <f>+G194-H194-I194-J194</f>
        <v>17850103.449999999</v>
      </c>
      <c r="L194" s="19">
        <f>+L193-G194</f>
        <v>24000000</v>
      </c>
      <c r="M194" s="20"/>
      <c r="N194" s="20"/>
      <c r="P194" s="55"/>
      <c r="Q194" s="55"/>
      <c r="R194" s="14"/>
      <c r="S194" s="14"/>
    </row>
    <row r="195" spans="2:19" ht="12.95" hidden="1" customHeight="1" x14ac:dyDescent="0.25">
      <c r="B195" s="16">
        <v>42367</v>
      </c>
      <c r="C195" s="36" t="s">
        <v>199</v>
      </c>
      <c r="D195" s="34"/>
      <c r="E195" s="49">
        <v>4000000</v>
      </c>
      <c r="F195" s="18"/>
      <c r="G195" s="49">
        <f>+E195</f>
        <v>4000000</v>
      </c>
      <c r="H195" s="37">
        <v>0</v>
      </c>
      <c r="I195" s="37">
        <v>0</v>
      </c>
      <c r="J195" s="37">
        <v>33310.35</v>
      </c>
      <c r="K195" s="18">
        <f>+G195-H195-I195-J195</f>
        <v>3966689.65</v>
      </c>
      <c r="L195" s="19">
        <f>+L194-G195</f>
        <v>20000000</v>
      </c>
      <c r="M195" s="20"/>
      <c r="N195" s="20"/>
      <c r="P195" s="55"/>
      <c r="Q195" s="55"/>
      <c r="R195" s="14"/>
      <c r="S195" s="14"/>
    </row>
    <row r="196" spans="2:19" ht="12.95" hidden="1" customHeight="1" x14ac:dyDescent="0.25">
      <c r="B196" s="16">
        <v>42514</v>
      </c>
      <c r="C196" s="36" t="s">
        <v>200</v>
      </c>
      <c r="D196" s="34"/>
      <c r="E196" s="49">
        <v>20000000</v>
      </c>
      <c r="F196" s="18"/>
      <c r="G196" s="49">
        <f>+E196</f>
        <v>20000000</v>
      </c>
      <c r="H196" s="37">
        <v>0</v>
      </c>
      <c r="I196" s="37">
        <v>0</v>
      </c>
      <c r="J196" s="37">
        <v>166551.72</v>
      </c>
      <c r="K196" s="18">
        <f>+G196-H196-I196-J196</f>
        <v>19833448.280000001</v>
      </c>
      <c r="L196" s="19">
        <f>+L195-G196</f>
        <v>0</v>
      </c>
      <c r="M196" s="20"/>
      <c r="N196" s="20"/>
      <c r="P196" s="55"/>
      <c r="Q196" s="55"/>
      <c r="R196" s="14"/>
      <c r="S196" s="14"/>
    </row>
    <row r="197" spans="2:19" ht="12.95" hidden="1" customHeight="1" x14ac:dyDescent="0.25">
      <c r="B197" s="9" t="s">
        <v>201</v>
      </c>
      <c r="C197" s="10"/>
      <c r="D197" s="10">
        <f>250000000+225000000+205000000</f>
        <v>680000000</v>
      </c>
      <c r="E197" s="11">
        <f>+D197</f>
        <v>680000000</v>
      </c>
      <c r="F197" s="11"/>
      <c r="G197" s="11"/>
      <c r="H197" s="11"/>
      <c r="I197" s="11"/>
      <c r="J197" s="11"/>
      <c r="K197" s="11"/>
      <c r="L197" s="11">
        <f>+D197</f>
        <v>680000000</v>
      </c>
      <c r="M197" s="12"/>
      <c r="N197" s="12"/>
      <c r="P197" s="55"/>
      <c r="Q197" s="55"/>
      <c r="R197" s="14"/>
      <c r="S197" s="14"/>
    </row>
    <row r="198" spans="2:19" ht="12.95" hidden="1" customHeight="1" x14ac:dyDescent="0.25">
      <c r="B198" s="16">
        <v>42292</v>
      </c>
      <c r="C198" s="36" t="s">
        <v>202</v>
      </c>
      <c r="D198" s="34"/>
      <c r="E198" s="49">
        <v>150000000</v>
      </c>
      <c r="F198" s="18"/>
      <c r="G198" s="49">
        <f>+E198</f>
        <v>150000000</v>
      </c>
      <c r="H198" s="37">
        <v>0</v>
      </c>
      <c r="I198" s="37">
        <v>0</v>
      </c>
      <c r="J198" s="37">
        <v>1634143.56</v>
      </c>
      <c r="K198" s="18">
        <f>+G198-H198-I198-J198</f>
        <v>148365856.44</v>
      </c>
      <c r="L198" s="19">
        <f>+L197-G198</f>
        <v>530000000</v>
      </c>
      <c r="M198" s="20"/>
      <c r="N198" s="20"/>
      <c r="P198" s="55"/>
      <c r="Q198" s="55"/>
      <c r="R198" s="14"/>
      <c r="S198" s="14"/>
    </row>
    <row r="199" spans="2:19" ht="12.95" hidden="1" customHeight="1" x14ac:dyDescent="0.25">
      <c r="B199" s="16">
        <v>42368</v>
      </c>
      <c r="C199" s="36" t="s">
        <v>203</v>
      </c>
      <c r="D199" s="34"/>
      <c r="E199" s="49">
        <v>100000000</v>
      </c>
      <c r="F199" s="18"/>
      <c r="G199" s="49">
        <f>+E199</f>
        <v>100000000</v>
      </c>
      <c r="H199" s="37">
        <v>2068965.45</v>
      </c>
      <c r="I199" s="37">
        <v>9482758.6699999999</v>
      </c>
      <c r="J199" s="37">
        <v>832758.63</v>
      </c>
      <c r="K199" s="18">
        <f>+G199-H199-I199-J199</f>
        <v>87615517.25</v>
      </c>
      <c r="L199" s="19">
        <f>+L198-G199</f>
        <v>430000000</v>
      </c>
      <c r="M199" s="20"/>
      <c r="N199" s="20"/>
      <c r="P199" s="55"/>
      <c r="Q199" s="55"/>
      <c r="R199" s="14"/>
      <c r="S199" s="14"/>
    </row>
    <row r="200" spans="2:19" ht="12.95" hidden="1" customHeight="1" x14ac:dyDescent="0.25">
      <c r="B200" s="16">
        <v>42368</v>
      </c>
      <c r="C200" s="36" t="s">
        <v>204</v>
      </c>
      <c r="D200" s="34"/>
      <c r="E200" s="49">
        <v>225000000</v>
      </c>
      <c r="F200" s="18"/>
      <c r="G200" s="49">
        <f>+E200</f>
        <v>225000000</v>
      </c>
      <c r="H200" s="37">
        <v>4655172.45</v>
      </c>
      <c r="I200" s="37">
        <v>21336206.870000001</v>
      </c>
      <c r="J200" s="37">
        <v>1873706.89</v>
      </c>
      <c r="K200" s="18">
        <f>+G200-H200-I200-J200</f>
        <v>197134913.79000002</v>
      </c>
      <c r="L200" s="19">
        <f>+L199-G200</f>
        <v>205000000</v>
      </c>
      <c r="M200" s="20"/>
      <c r="N200" s="20"/>
      <c r="P200" s="55"/>
      <c r="Q200" s="55"/>
      <c r="R200" s="14"/>
      <c r="S200" s="14"/>
    </row>
    <row r="201" spans="2:19" ht="12.95" hidden="1" customHeight="1" x14ac:dyDescent="0.25">
      <c r="B201" s="16">
        <v>42471</v>
      </c>
      <c r="C201" s="50" t="s">
        <v>205</v>
      </c>
      <c r="D201" s="34"/>
      <c r="E201" s="49">
        <v>123000000</v>
      </c>
      <c r="F201" s="18"/>
      <c r="G201" s="49">
        <f>+E201</f>
        <v>123000000</v>
      </c>
      <c r="H201" s="37">
        <v>2544827.5499999998</v>
      </c>
      <c r="I201" s="37">
        <v>11663793.130000001</v>
      </c>
      <c r="J201" s="37">
        <v>1024293.11</v>
      </c>
      <c r="K201" s="18">
        <f>+G201-H201-I201-J201</f>
        <v>107767086.21000001</v>
      </c>
      <c r="L201" s="19">
        <f>+L200-G201</f>
        <v>82000000</v>
      </c>
      <c r="M201" s="20"/>
      <c r="N201" s="20"/>
      <c r="P201" s="55"/>
      <c r="Q201" s="55"/>
      <c r="R201" s="14"/>
      <c r="S201" s="14"/>
    </row>
    <row r="202" spans="2:19" ht="12.95" hidden="1" customHeight="1" x14ac:dyDescent="0.25">
      <c r="B202" s="38">
        <v>42622</v>
      </c>
      <c r="C202" s="58" t="s">
        <v>206</v>
      </c>
      <c r="D202" s="34"/>
      <c r="E202" s="57">
        <v>82000000</v>
      </c>
      <c r="F202" s="18"/>
      <c r="G202" s="49">
        <f>+E202</f>
        <v>82000000</v>
      </c>
      <c r="H202" s="43">
        <v>1696551.75</v>
      </c>
      <c r="I202" s="43">
        <v>7775862.0499999998</v>
      </c>
      <c r="J202" s="43">
        <v>682862.07</v>
      </c>
      <c r="K202" s="18">
        <f>+G202-H202-I202-J202</f>
        <v>71844724.13000001</v>
      </c>
      <c r="L202" s="19">
        <f>+L201-G202</f>
        <v>0</v>
      </c>
      <c r="M202" s="20"/>
      <c r="N202" s="20"/>
      <c r="P202" s="55"/>
      <c r="Q202" s="55"/>
      <c r="R202" s="14"/>
      <c r="S202" s="14"/>
    </row>
    <row r="203" spans="2:19" ht="12.95" hidden="1" customHeight="1" x14ac:dyDescent="0.25">
      <c r="B203" s="9" t="s">
        <v>207</v>
      </c>
      <c r="C203" s="10"/>
      <c r="D203" s="10">
        <v>49000000</v>
      </c>
      <c r="E203" s="11">
        <f>+D203</f>
        <v>49000000</v>
      </c>
      <c r="F203" s="11"/>
      <c r="G203" s="11"/>
      <c r="H203" s="11"/>
      <c r="I203" s="11"/>
      <c r="J203" s="11"/>
      <c r="K203" s="11"/>
      <c r="L203" s="11">
        <f>+D203</f>
        <v>49000000</v>
      </c>
      <c r="M203" s="12"/>
      <c r="N203" s="12"/>
      <c r="P203" s="55"/>
      <c r="Q203" s="55"/>
      <c r="R203" s="14"/>
      <c r="S203" s="14"/>
    </row>
    <row r="204" spans="2:19" ht="12.95" hidden="1" customHeight="1" x14ac:dyDescent="0.25">
      <c r="B204" s="16">
        <v>42314</v>
      </c>
      <c r="C204" s="36" t="s">
        <v>208</v>
      </c>
      <c r="D204" s="34"/>
      <c r="E204" s="49">
        <v>7000000</v>
      </c>
      <c r="F204" s="18"/>
      <c r="G204" s="49">
        <f t="shared" ref="G204:G213" si="29">+E204</f>
        <v>7000000</v>
      </c>
      <c r="H204" s="37">
        <v>0</v>
      </c>
      <c r="I204" s="37">
        <v>267029.8</v>
      </c>
      <c r="J204" s="37">
        <v>59911.32</v>
      </c>
      <c r="K204" s="18">
        <f t="shared" ref="K204:K213" si="30">+G204-H204-I204-J204</f>
        <v>6673058.8799999999</v>
      </c>
      <c r="L204" s="19">
        <f t="shared" ref="L204:L213" si="31">+L203-G204</f>
        <v>42000000</v>
      </c>
      <c r="M204" s="20"/>
      <c r="N204" s="20"/>
      <c r="P204" s="55"/>
      <c r="Q204" s="55"/>
      <c r="R204" s="14"/>
      <c r="S204" s="14"/>
    </row>
    <row r="205" spans="2:19" ht="12.95" hidden="1" customHeight="1" x14ac:dyDescent="0.25">
      <c r="B205" s="16">
        <v>42347</v>
      </c>
      <c r="C205" s="36" t="s">
        <v>209</v>
      </c>
      <c r="D205" s="34"/>
      <c r="E205" s="49">
        <v>7000000</v>
      </c>
      <c r="F205" s="18"/>
      <c r="G205" s="49">
        <f t="shared" si="29"/>
        <v>7000000</v>
      </c>
      <c r="H205" s="56">
        <v>0</v>
      </c>
      <c r="I205" s="56">
        <v>267029.8</v>
      </c>
      <c r="J205" s="56">
        <v>59911.32</v>
      </c>
      <c r="K205" s="18">
        <f t="shared" si="30"/>
        <v>6673058.8799999999</v>
      </c>
      <c r="L205" s="19">
        <f t="shared" si="31"/>
        <v>35000000</v>
      </c>
      <c r="M205" s="20"/>
      <c r="N205" s="20"/>
      <c r="P205" s="55"/>
      <c r="Q205" s="55"/>
      <c r="R205" s="14"/>
      <c r="S205" s="14"/>
    </row>
    <row r="206" spans="2:19" ht="12.95" hidden="1" customHeight="1" x14ac:dyDescent="0.25">
      <c r="B206" s="16">
        <v>42367</v>
      </c>
      <c r="C206" s="36" t="s">
        <v>210</v>
      </c>
      <c r="D206" s="34"/>
      <c r="E206" s="49">
        <v>7000000</v>
      </c>
      <c r="F206" s="18"/>
      <c r="G206" s="49">
        <f t="shared" si="29"/>
        <v>7000000</v>
      </c>
      <c r="H206" s="56">
        <v>0</v>
      </c>
      <c r="I206" s="56">
        <v>1223485.31</v>
      </c>
      <c r="J206" s="56">
        <v>59911.32</v>
      </c>
      <c r="K206" s="18">
        <f t="shared" si="30"/>
        <v>5716603.3699999992</v>
      </c>
      <c r="L206" s="19">
        <f t="shared" si="31"/>
        <v>28000000</v>
      </c>
      <c r="M206" s="20"/>
      <c r="N206" s="20"/>
      <c r="P206" s="55"/>
      <c r="Q206" s="55"/>
      <c r="R206" s="14"/>
      <c r="S206" s="14"/>
    </row>
    <row r="207" spans="2:19" ht="12.95" hidden="1" customHeight="1" x14ac:dyDescent="0.25">
      <c r="B207" s="16">
        <v>42368</v>
      </c>
      <c r="C207" s="36" t="s">
        <v>211</v>
      </c>
      <c r="D207" s="34"/>
      <c r="E207" s="49">
        <v>7000000</v>
      </c>
      <c r="F207" s="18"/>
      <c r="G207" s="49">
        <f t="shared" si="29"/>
        <v>7000000</v>
      </c>
      <c r="H207" s="56">
        <v>0</v>
      </c>
      <c r="I207" s="56">
        <v>1447976.76</v>
      </c>
      <c r="J207" s="56">
        <v>59911.32</v>
      </c>
      <c r="K207" s="18">
        <f t="shared" si="30"/>
        <v>5492111.9199999999</v>
      </c>
      <c r="L207" s="19">
        <f t="shared" si="31"/>
        <v>21000000</v>
      </c>
      <c r="M207" s="20"/>
      <c r="N207" s="20"/>
      <c r="P207" s="55"/>
      <c r="Q207" s="55"/>
      <c r="R207" s="14"/>
      <c r="S207" s="14"/>
    </row>
    <row r="208" spans="2:19" ht="12.95" hidden="1" customHeight="1" x14ac:dyDescent="0.25">
      <c r="B208" s="16">
        <v>42368</v>
      </c>
      <c r="C208" s="36" t="s">
        <v>212</v>
      </c>
      <c r="D208" s="34"/>
      <c r="E208" s="49">
        <v>7000000</v>
      </c>
      <c r="F208" s="18"/>
      <c r="G208" s="49">
        <f t="shared" si="29"/>
        <v>7000000</v>
      </c>
      <c r="H208" s="56">
        <v>0</v>
      </c>
      <c r="I208" s="56">
        <v>1523585.25</v>
      </c>
      <c r="J208" s="56">
        <v>59911.32</v>
      </c>
      <c r="K208" s="18">
        <f t="shared" si="30"/>
        <v>5416503.4299999997</v>
      </c>
      <c r="L208" s="19">
        <f t="shared" si="31"/>
        <v>14000000</v>
      </c>
      <c r="M208" s="20"/>
      <c r="N208" s="20"/>
      <c r="P208" s="55"/>
      <c r="Q208" s="55"/>
      <c r="R208" s="14"/>
      <c r="S208" s="14"/>
    </row>
    <row r="209" spans="2:19" ht="12.95" hidden="1" customHeight="1" x14ac:dyDescent="0.25">
      <c r="B209" s="16">
        <v>42403</v>
      </c>
      <c r="C209" s="36" t="s">
        <v>213</v>
      </c>
      <c r="D209" s="34"/>
      <c r="E209" s="49">
        <v>7000000</v>
      </c>
      <c r="F209" s="18"/>
      <c r="G209" s="49">
        <f t="shared" si="29"/>
        <v>7000000</v>
      </c>
      <c r="H209" s="56">
        <v>0</v>
      </c>
      <c r="I209" s="56">
        <v>244414.11</v>
      </c>
      <c r="J209" s="56">
        <v>59911.32</v>
      </c>
      <c r="K209" s="18">
        <f t="shared" si="30"/>
        <v>6695674.5699999994</v>
      </c>
      <c r="L209" s="19">
        <f t="shared" si="31"/>
        <v>7000000</v>
      </c>
      <c r="M209" s="20"/>
      <c r="N209" s="20"/>
      <c r="P209" s="55"/>
      <c r="Q209" s="55"/>
      <c r="R209" s="14"/>
      <c r="S209" s="14"/>
    </row>
    <row r="210" spans="2:19" ht="12.95" hidden="1" customHeight="1" x14ac:dyDescent="0.25">
      <c r="B210" s="16">
        <v>42403</v>
      </c>
      <c r="C210" s="36" t="s">
        <v>214</v>
      </c>
      <c r="D210" s="34"/>
      <c r="E210" s="37">
        <v>1230090</v>
      </c>
      <c r="F210" s="18"/>
      <c r="G210" s="49">
        <f t="shared" si="29"/>
        <v>1230090</v>
      </c>
      <c r="H210" s="56">
        <v>0</v>
      </c>
      <c r="I210" s="56">
        <v>187595.91</v>
      </c>
      <c r="J210" s="56">
        <v>11882.67</v>
      </c>
      <c r="K210" s="18">
        <f t="shared" si="30"/>
        <v>1030611.4199999999</v>
      </c>
      <c r="L210" s="19">
        <f t="shared" si="31"/>
        <v>5769910</v>
      </c>
      <c r="M210" s="20"/>
      <c r="N210" s="20"/>
      <c r="P210" s="55"/>
      <c r="Q210" s="55"/>
      <c r="R210" s="14"/>
      <c r="S210" s="14"/>
    </row>
    <row r="211" spans="2:19" ht="12.95" hidden="1" customHeight="1" x14ac:dyDescent="0.25">
      <c r="B211" s="16">
        <v>42683</v>
      </c>
      <c r="C211" s="50" t="s">
        <v>215</v>
      </c>
      <c r="D211" s="34"/>
      <c r="E211" s="37">
        <v>0</v>
      </c>
      <c r="F211" s="18"/>
      <c r="G211" s="49">
        <f t="shared" si="29"/>
        <v>0</v>
      </c>
      <c r="H211" s="56">
        <v>0</v>
      </c>
      <c r="I211" s="37">
        <v>-187595.91</v>
      </c>
      <c r="J211" s="37"/>
      <c r="K211" s="18">
        <f t="shared" si="30"/>
        <v>187595.91</v>
      </c>
      <c r="L211" s="19">
        <f t="shared" si="31"/>
        <v>5769910</v>
      </c>
      <c r="M211" s="20"/>
      <c r="N211" s="20"/>
      <c r="P211" s="55"/>
      <c r="Q211" s="55"/>
      <c r="R211" s="14"/>
      <c r="S211" s="14"/>
    </row>
    <row r="212" spans="2:19" ht="12.95" hidden="1" customHeight="1" x14ac:dyDescent="0.25">
      <c r="B212" s="16">
        <v>42684</v>
      </c>
      <c r="C212" s="50" t="s">
        <v>216</v>
      </c>
      <c r="D212" s="34"/>
      <c r="E212" s="37">
        <v>0</v>
      </c>
      <c r="F212" s="18"/>
      <c r="G212" s="49">
        <f t="shared" si="29"/>
        <v>0</v>
      </c>
      <c r="H212" s="56">
        <v>0</v>
      </c>
      <c r="I212" s="37"/>
      <c r="J212" s="37">
        <v>-11882.67</v>
      </c>
      <c r="K212" s="18">
        <f t="shared" si="30"/>
        <v>11882.67</v>
      </c>
      <c r="L212" s="19">
        <f t="shared" si="31"/>
        <v>5769910</v>
      </c>
      <c r="M212" s="20"/>
      <c r="N212" s="20"/>
      <c r="P212" s="55"/>
      <c r="Q212" s="55"/>
      <c r="R212" s="14"/>
      <c r="S212" s="14"/>
    </row>
    <row r="213" spans="2:19" ht="12.95" hidden="1" customHeight="1" x14ac:dyDescent="0.25">
      <c r="B213" s="16">
        <v>42403</v>
      </c>
      <c r="C213" s="36" t="s">
        <v>166</v>
      </c>
      <c r="D213" s="34"/>
      <c r="E213" s="37">
        <v>5769910</v>
      </c>
      <c r="F213" s="18">
        <v>0</v>
      </c>
      <c r="G213" s="49">
        <f t="shared" si="29"/>
        <v>5769910</v>
      </c>
      <c r="H213" s="56">
        <v>0</v>
      </c>
      <c r="I213" s="37"/>
      <c r="J213" s="37">
        <v>0</v>
      </c>
      <c r="K213" s="18">
        <f t="shared" si="30"/>
        <v>5769910</v>
      </c>
      <c r="L213" s="19">
        <f t="shared" si="31"/>
        <v>0</v>
      </c>
      <c r="M213" s="20"/>
      <c r="N213" s="20"/>
      <c r="P213" s="55"/>
      <c r="Q213" s="55"/>
      <c r="R213" s="14"/>
      <c r="S213" s="14"/>
    </row>
    <row r="214" spans="2:19" ht="12.95" hidden="1" customHeight="1" x14ac:dyDescent="0.25">
      <c r="B214" s="9" t="s">
        <v>217</v>
      </c>
      <c r="C214" s="10"/>
      <c r="D214" s="10">
        <v>300000000</v>
      </c>
      <c r="E214" s="11">
        <f>+D214</f>
        <v>300000000</v>
      </c>
      <c r="F214" s="11"/>
      <c r="G214" s="11"/>
      <c r="H214" s="11"/>
      <c r="I214" s="11"/>
      <c r="J214" s="11"/>
      <c r="K214" s="11"/>
      <c r="L214" s="11">
        <f>+D214</f>
        <v>300000000</v>
      </c>
      <c r="M214" s="12"/>
      <c r="N214" s="12"/>
      <c r="P214" s="55"/>
      <c r="Q214" s="55"/>
      <c r="R214" s="14"/>
      <c r="S214" s="14"/>
    </row>
    <row r="215" spans="2:19" ht="12.95" hidden="1" customHeight="1" x14ac:dyDescent="0.25">
      <c r="B215" s="16">
        <v>42340</v>
      </c>
      <c r="C215" s="36" t="s">
        <v>218</v>
      </c>
      <c r="D215" s="34"/>
      <c r="E215" s="49">
        <v>117000000</v>
      </c>
      <c r="F215" s="18"/>
      <c r="G215" s="49">
        <f>+E215</f>
        <v>117000000</v>
      </c>
      <c r="H215" s="37">
        <v>0</v>
      </c>
      <c r="I215" s="37">
        <v>0</v>
      </c>
      <c r="J215" s="37">
        <v>0</v>
      </c>
      <c r="K215" s="18">
        <f>+G215-H215-I215-J215</f>
        <v>117000000</v>
      </c>
      <c r="L215" s="19">
        <f>+L214-G215</f>
        <v>183000000</v>
      </c>
      <c r="M215" s="20"/>
      <c r="N215" s="20"/>
      <c r="P215" s="55"/>
      <c r="Q215" s="55"/>
      <c r="R215" s="14"/>
      <c r="S215" s="14"/>
    </row>
    <row r="216" spans="2:19" ht="12.95" hidden="1" customHeight="1" x14ac:dyDescent="0.25">
      <c r="B216" s="16">
        <v>42359</v>
      </c>
      <c r="C216" s="55" t="s">
        <v>219</v>
      </c>
      <c r="D216" s="55"/>
      <c r="E216" s="56">
        <v>77000000</v>
      </c>
      <c r="F216" s="56"/>
      <c r="G216" s="49">
        <f>+E216</f>
        <v>77000000</v>
      </c>
      <c r="H216" s="56">
        <v>0</v>
      </c>
      <c r="I216" s="56">
        <v>0</v>
      </c>
      <c r="J216" s="56">
        <v>0</v>
      </c>
      <c r="K216" s="18">
        <f>+G216-H216-I216-J216</f>
        <v>77000000</v>
      </c>
      <c r="L216" s="19">
        <f>+L215-G216</f>
        <v>106000000</v>
      </c>
      <c r="M216" s="20"/>
      <c r="N216" s="20"/>
      <c r="P216" s="55"/>
      <c r="Q216" s="55"/>
      <c r="R216" s="14"/>
      <c r="S216" s="14"/>
    </row>
    <row r="217" spans="2:19" ht="12.95" hidden="1" customHeight="1" x14ac:dyDescent="0.25">
      <c r="B217" s="16">
        <v>42368</v>
      </c>
      <c r="C217" s="55" t="s">
        <v>220</v>
      </c>
      <c r="D217" s="55"/>
      <c r="E217" s="56">
        <v>106000000</v>
      </c>
      <c r="F217" s="56"/>
      <c r="G217" s="49">
        <f>+E217</f>
        <v>106000000</v>
      </c>
      <c r="H217" s="56">
        <v>0</v>
      </c>
      <c r="I217" s="56">
        <v>0</v>
      </c>
      <c r="J217" s="56">
        <v>0</v>
      </c>
      <c r="K217" s="18">
        <f>+G217-H217-I217-J217</f>
        <v>106000000</v>
      </c>
      <c r="L217" s="19">
        <f>+L216-G217</f>
        <v>0</v>
      </c>
      <c r="M217" s="20"/>
      <c r="N217" s="20"/>
      <c r="P217" s="55"/>
      <c r="Q217" s="55"/>
      <c r="R217" s="14"/>
      <c r="S217" s="14"/>
    </row>
    <row r="218" spans="2:19" ht="12.95" hidden="1" customHeight="1" x14ac:dyDescent="0.25">
      <c r="B218" s="9" t="s">
        <v>221</v>
      </c>
      <c r="C218" s="10"/>
      <c r="D218" s="10">
        <v>340046000</v>
      </c>
      <c r="E218" s="11">
        <f>+D218</f>
        <v>340046000</v>
      </c>
      <c r="F218" s="11"/>
      <c r="G218" s="11"/>
      <c r="H218" s="11"/>
      <c r="I218" s="11"/>
      <c r="J218" s="11"/>
      <c r="K218" s="11"/>
      <c r="L218" s="11">
        <f>+D218</f>
        <v>340046000</v>
      </c>
      <c r="M218" s="12"/>
      <c r="N218" s="12"/>
      <c r="P218" s="55"/>
      <c r="Q218" s="55"/>
      <c r="R218" s="14"/>
      <c r="S218" s="14"/>
    </row>
    <row r="219" spans="2:19" ht="12.95" hidden="1" customHeight="1" x14ac:dyDescent="0.25">
      <c r="B219" s="16">
        <v>42010</v>
      </c>
      <c r="C219" s="17" t="s">
        <v>222</v>
      </c>
      <c r="D219" s="34"/>
      <c r="E219" s="18">
        <v>226696000</v>
      </c>
      <c r="F219" s="18">
        <v>0</v>
      </c>
      <c r="G219" s="18">
        <f>+E219</f>
        <v>226696000</v>
      </c>
      <c r="H219" s="18">
        <v>0</v>
      </c>
      <c r="I219" s="18">
        <v>0</v>
      </c>
      <c r="J219" s="18">
        <v>0</v>
      </c>
      <c r="K219" s="18">
        <f>+G219-I219-J219</f>
        <v>226696000</v>
      </c>
      <c r="L219" s="19">
        <f>+L218-G219</f>
        <v>113350000</v>
      </c>
      <c r="M219" s="20"/>
      <c r="N219" s="20"/>
      <c r="P219" s="55"/>
      <c r="Q219" s="55"/>
      <c r="R219" s="14"/>
      <c r="S219" s="14"/>
    </row>
    <row r="220" spans="2:19" ht="12.75" hidden="1" customHeight="1" x14ac:dyDescent="0.25">
      <c r="B220" s="16">
        <v>42368</v>
      </c>
      <c r="C220" s="21" t="s">
        <v>223</v>
      </c>
      <c r="D220" s="34"/>
      <c r="E220" s="18">
        <v>113350000</v>
      </c>
      <c r="F220" s="18">
        <v>0</v>
      </c>
      <c r="G220" s="18">
        <f>+E220</f>
        <v>113350000</v>
      </c>
      <c r="H220" s="56">
        <v>0</v>
      </c>
      <c r="I220" s="56">
        <v>0</v>
      </c>
      <c r="J220" s="56">
        <v>0</v>
      </c>
      <c r="K220" s="18">
        <f>+G220-I220-J220</f>
        <v>113350000</v>
      </c>
      <c r="L220" s="19">
        <f>+L219-G220</f>
        <v>0</v>
      </c>
      <c r="M220" s="20"/>
      <c r="N220" s="20"/>
      <c r="P220" s="55"/>
      <c r="Q220" s="55"/>
      <c r="R220" s="14"/>
      <c r="S220" s="14"/>
    </row>
    <row r="221" spans="2:19" ht="12.95" hidden="1" customHeight="1" x14ac:dyDescent="0.25">
      <c r="B221" s="9" t="s">
        <v>224</v>
      </c>
      <c r="C221" s="10"/>
      <c r="D221" s="10">
        <f>508000000+832000000</f>
        <v>1340000000</v>
      </c>
      <c r="E221" s="11">
        <f>+D221</f>
        <v>1340000000</v>
      </c>
      <c r="F221" s="11"/>
      <c r="G221" s="11"/>
      <c r="H221" s="11"/>
      <c r="I221" s="11"/>
      <c r="J221" s="11"/>
      <c r="K221" s="11"/>
      <c r="L221" s="11">
        <f>+D221</f>
        <v>1340000000</v>
      </c>
      <c r="M221" s="12"/>
      <c r="N221" s="12"/>
      <c r="P221" s="55"/>
      <c r="Q221" s="55"/>
      <c r="R221" s="14"/>
      <c r="S221" s="14"/>
    </row>
    <row r="222" spans="2:19" ht="12.95" hidden="1" customHeight="1" x14ac:dyDescent="0.25">
      <c r="B222" s="16">
        <v>42010</v>
      </c>
      <c r="C222" s="17" t="s">
        <v>225</v>
      </c>
      <c r="D222" s="34"/>
      <c r="E222" s="18">
        <v>508000000</v>
      </c>
      <c r="F222" s="18">
        <v>0</v>
      </c>
      <c r="G222" s="18">
        <f>+E222</f>
        <v>508000000</v>
      </c>
      <c r="H222" s="18">
        <v>0</v>
      </c>
      <c r="I222" s="18">
        <v>0</v>
      </c>
      <c r="J222" s="18">
        <v>0</v>
      </c>
      <c r="K222" s="18">
        <f>+G222-I222-J222</f>
        <v>508000000</v>
      </c>
      <c r="L222" s="19">
        <f>+L221-G222</f>
        <v>832000000</v>
      </c>
      <c r="M222" s="20"/>
      <c r="N222" s="20"/>
      <c r="P222" s="55"/>
      <c r="Q222" s="55"/>
      <c r="R222" s="14"/>
      <c r="S222" s="14"/>
    </row>
    <row r="223" spans="2:19" ht="12.95" hidden="1" customHeight="1" x14ac:dyDescent="0.25">
      <c r="B223" s="16">
        <v>42452</v>
      </c>
      <c r="C223" s="17" t="s">
        <v>226</v>
      </c>
      <c r="D223" s="34"/>
      <c r="E223" s="18">
        <v>332800000</v>
      </c>
      <c r="F223" s="18">
        <v>0</v>
      </c>
      <c r="G223" s="18">
        <f>+E223</f>
        <v>332800000</v>
      </c>
      <c r="H223" s="18">
        <v>0</v>
      </c>
      <c r="I223" s="18">
        <v>0</v>
      </c>
      <c r="J223" s="18">
        <v>0</v>
      </c>
      <c r="K223" s="18">
        <f>+G223-I223-J223</f>
        <v>332800000</v>
      </c>
      <c r="L223" s="19">
        <f>+L222-G223</f>
        <v>499200000</v>
      </c>
      <c r="M223" s="20"/>
      <c r="N223" s="20"/>
      <c r="P223" s="55"/>
      <c r="Q223" s="55"/>
      <c r="R223" s="14"/>
      <c r="S223" s="14"/>
    </row>
    <row r="224" spans="2:19" ht="12.95" hidden="1" customHeight="1" x14ac:dyDescent="0.25">
      <c r="B224" s="16">
        <v>42635</v>
      </c>
      <c r="C224" s="17" t="s">
        <v>227</v>
      </c>
      <c r="D224" s="34"/>
      <c r="E224" s="18">
        <v>249600000</v>
      </c>
      <c r="F224" s="18">
        <v>0</v>
      </c>
      <c r="G224" s="18">
        <f>+E224</f>
        <v>249600000</v>
      </c>
      <c r="H224" s="18">
        <v>0</v>
      </c>
      <c r="I224" s="18">
        <v>0</v>
      </c>
      <c r="J224" s="18">
        <v>0</v>
      </c>
      <c r="K224" s="18">
        <f>+G224-I224-J224</f>
        <v>249600000</v>
      </c>
      <c r="L224" s="19">
        <f>+L223-G224</f>
        <v>249600000</v>
      </c>
      <c r="M224" s="20"/>
      <c r="N224" s="20"/>
      <c r="P224" s="55"/>
      <c r="Q224" s="55"/>
      <c r="R224" s="14"/>
      <c r="S224" s="14"/>
    </row>
    <row r="225" spans="2:19" ht="12.95" hidden="1" customHeight="1" x14ac:dyDescent="0.25">
      <c r="B225" s="16">
        <v>42761</v>
      </c>
      <c r="C225" s="17" t="s">
        <v>228</v>
      </c>
      <c r="D225" s="34"/>
      <c r="E225" s="18">
        <v>249600000</v>
      </c>
      <c r="F225" s="18">
        <v>0</v>
      </c>
      <c r="G225" s="18">
        <f>+E225</f>
        <v>249600000</v>
      </c>
      <c r="H225" s="18">
        <v>0</v>
      </c>
      <c r="I225" s="18">
        <v>0</v>
      </c>
      <c r="J225" s="18">
        <v>0</v>
      </c>
      <c r="K225" s="18">
        <f>+G225-I225-J225</f>
        <v>249600000</v>
      </c>
      <c r="L225" s="19">
        <f>+L224-G225</f>
        <v>0</v>
      </c>
      <c r="M225" s="20"/>
      <c r="N225" s="20"/>
      <c r="P225" s="55"/>
      <c r="Q225" s="55"/>
      <c r="R225" s="14"/>
      <c r="S225" s="14"/>
    </row>
    <row r="226" spans="2:19" ht="12.95" hidden="1" customHeight="1" x14ac:dyDescent="0.25">
      <c r="B226" s="9" t="s">
        <v>229</v>
      </c>
      <c r="C226" s="10"/>
      <c r="D226" s="10">
        <v>600000000</v>
      </c>
      <c r="E226" s="11">
        <f>+D226</f>
        <v>600000000</v>
      </c>
      <c r="F226" s="11"/>
      <c r="G226" s="11"/>
      <c r="H226" s="11"/>
      <c r="I226" s="11"/>
      <c r="J226" s="11"/>
      <c r="K226" s="11"/>
      <c r="L226" s="11">
        <f>+D226</f>
        <v>600000000</v>
      </c>
      <c r="M226" s="12"/>
      <c r="N226" s="12"/>
      <c r="P226" s="55"/>
      <c r="Q226" s="55"/>
      <c r="R226" s="14"/>
      <c r="S226" s="14"/>
    </row>
    <row r="227" spans="2:19" ht="12.95" hidden="1" customHeight="1" x14ac:dyDescent="0.25">
      <c r="B227" s="16">
        <v>42376</v>
      </c>
      <c r="C227" s="17" t="s">
        <v>230</v>
      </c>
      <c r="D227" s="34"/>
      <c r="E227" s="18">
        <v>100000000</v>
      </c>
      <c r="F227" s="18">
        <v>0</v>
      </c>
      <c r="G227" s="18">
        <f>+E227</f>
        <v>100000000</v>
      </c>
      <c r="H227" s="18">
        <v>0</v>
      </c>
      <c r="I227" s="18">
        <v>0</v>
      </c>
      <c r="J227" s="18">
        <v>0</v>
      </c>
      <c r="K227" s="18">
        <f>+G227-I227-J227</f>
        <v>100000000</v>
      </c>
      <c r="L227" s="19">
        <f>+L226-G227</f>
        <v>500000000</v>
      </c>
      <c r="M227" s="20"/>
      <c r="N227" s="20"/>
      <c r="P227" s="55"/>
      <c r="Q227" s="55"/>
      <c r="R227" s="14"/>
      <c r="S227" s="14"/>
    </row>
    <row r="228" spans="2:19" ht="12.95" hidden="1" customHeight="1" x14ac:dyDescent="0.25">
      <c r="B228" s="16">
        <v>42507</v>
      </c>
      <c r="C228" s="17" t="s">
        <v>231</v>
      </c>
      <c r="D228" s="34"/>
      <c r="E228" s="18">
        <v>400000000</v>
      </c>
      <c r="F228" s="18">
        <v>0</v>
      </c>
      <c r="G228" s="18">
        <f>+E228</f>
        <v>400000000</v>
      </c>
      <c r="H228" s="18">
        <v>0</v>
      </c>
      <c r="I228" s="18">
        <v>0</v>
      </c>
      <c r="J228" s="18">
        <v>0</v>
      </c>
      <c r="K228" s="18">
        <f>+G228-I228-J228</f>
        <v>400000000</v>
      </c>
      <c r="L228" s="19">
        <f>+L227-G228</f>
        <v>100000000</v>
      </c>
      <c r="M228" s="20"/>
      <c r="N228" s="20"/>
      <c r="P228" s="55"/>
      <c r="Q228" s="55"/>
      <c r="R228" s="14"/>
      <c r="S228" s="14"/>
    </row>
    <row r="229" spans="2:19" ht="12.95" hidden="1" customHeight="1" x14ac:dyDescent="0.25">
      <c r="B229" s="16">
        <v>42565</v>
      </c>
      <c r="C229" s="17" t="s">
        <v>232</v>
      </c>
      <c r="D229" s="34"/>
      <c r="E229" s="18">
        <v>100000000</v>
      </c>
      <c r="F229" s="18">
        <v>0</v>
      </c>
      <c r="G229" s="18">
        <f>+E229</f>
        <v>100000000</v>
      </c>
      <c r="H229" s="18">
        <v>0</v>
      </c>
      <c r="I229" s="18">
        <v>0</v>
      </c>
      <c r="J229" s="18">
        <v>0</v>
      </c>
      <c r="K229" s="18">
        <f>+G229-I229-J229</f>
        <v>100000000</v>
      </c>
      <c r="L229" s="19">
        <f>+L228-G229</f>
        <v>0</v>
      </c>
      <c r="M229" s="20"/>
      <c r="N229" s="20"/>
      <c r="P229" s="55"/>
      <c r="Q229" s="55"/>
      <c r="R229" s="14"/>
      <c r="S229" s="14"/>
    </row>
    <row r="230" spans="2:19" ht="12.95" hidden="1" customHeight="1" x14ac:dyDescent="0.25">
      <c r="B230" s="9" t="s">
        <v>233</v>
      </c>
      <c r="C230" s="10"/>
      <c r="D230" s="10">
        <f>50000000+375000000</f>
        <v>425000000</v>
      </c>
      <c r="E230" s="11">
        <f>+D230</f>
        <v>425000000</v>
      </c>
      <c r="F230" s="11"/>
      <c r="G230" s="11"/>
      <c r="H230" s="11"/>
      <c r="I230" s="11"/>
      <c r="J230" s="11"/>
      <c r="K230" s="11"/>
      <c r="L230" s="11">
        <f>+D230</f>
        <v>425000000</v>
      </c>
      <c r="M230" s="12"/>
      <c r="N230" s="12"/>
      <c r="P230" s="55"/>
      <c r="Q230" s="55"/>
      <c r="R230" s="14"/>
      <c r="S230" s="14"/>
    </row>
    <row r="231" spans="2:19" ht="12.95" hidden="1" customHeight="1" x14ac:dyDescent="0.25">
      <c r="B231" s="16">
        <v>42403</v>
      </c>
      <c r="C231" s="17" t="s">
        <v>222</v>
      </c>
      <c r="D231" s="34"/>
      <c r="E231" s="18">
        <v>50000000</v>
      </c>
      <c r="F231" s="18">
        <v>0</v>
      </c>
      <c r="G231" s="18">
        <f>+E231</f>
        <v>50000000</v>
      </c>
      <c r="H231" s="18">
        <v>0</v>
      </c>
      <c r="I231" s="18">
        <v>0</v>
      </c>
      <c r="J231" s="18">
        <v>0</v>
      </c>
      <c r="K231" s="18">
        <f>+G231-I231-J231</f>
        <v>50000000</v>
      </c>
      <c r="L231" s="19">
        <f>+L230-G231</f>
        <v>375000000</v>
      </c>
      <c r="M231" s="20"/>
      <c r="N231" s="20"/>
      <c r="P231" s="55"/>
      <c r="Q231" s="55"/>
      <c r="R231" s="14"/>
      <c r="S231" s="14"/>
    </row>
    <row r="232" spans="2:19" ht="12.95" hidden="1" customHeight="1" x14ac:dyDescent="0.25">
      <c r="B232" s="16">
        <v>42474</v>
      </c>
      <c r="C232" s="17" t="s">
        <v>234</v>
      </c>
      <c r="D232" s="34"/>
      <c r="E232" s="18">
        <v>187500000</v>
      </c>
      <c r="F232" s="18">
        <v>0</v>
      </c>
      <c r="G232" s="18">
        <f>+E232</f>
        <v>187500000</v>
      </c>
      <c r="H232" s="18">
        <v>0</v>
      </c>
      <c r="I232" s="18">
        <v>0</v>
      </c>
      <c r="J232" s="18">
        <v>0</v>
      </c>
      <c r="K232" s="18">
        <f>+G232-I232-J232</f>
        <v>187500000</v>
      </c>
      <c r="L232" s="19">
        <f>+L231-G232</f>
        <v>187500000</v>
      </c>
      <c r="M232" s="20"/>
      <c r="N232" s="20"/>
      <c r="P232" s="55"/>
      <c r="Q232" s="55"/>
      <c r="R232" s="14"/>
      <c r="S232" s="14"/>
    </row>
    <row r="233" spans="2:19" ht="12.95" hidden="1" customHeight="1" x14ac:dyDescent="0.25">
      <c r="B233" s="16">
        <v>42565</v>
      </c>
      <c r="C233" s="17" t="s">
        <v>235</v>
      </c>
      <c r="D233" s="34"/>
      <c r="E233" s="18">
        <v>187500000</v>
      </c>
      <c r="F233" s="18">
        <v>0</v>
      </c>
      <c r="G233" s="18">
        <f>+E233</f>
        <v>187500000</v>
      </c>
      <c r="H233" s="18">
        <v>0</v>
      </c>
      <c r="I233" s="18">
        <v>0</v>
      </c>
      <c r="J233" s="18">
        <v>0</v>
      </c>
      <c r="K233" s="18">
        <f>+G233-I233-J233</f>
        <v>187500000</v>
      </c>
      <c r="L233" s="19">
        <f>+L232-G233</f>
        <v>0</v>
      </c>
      <c r="M233" s="20"/>
      <c r="N233" s="20"/>
      <c r="P233" s="55"/>
      <c r="Q233" s="55"/>
      <c r="R233" s="14"/>
      <c r="S233" s="14"/>
    </row>
    <row r="234" spans="2:19" ht="12.95" hidden="1" customHeight="1" x14ac:dyDescent="0.25">
      <c r="B234" s="9" t="s">
        <v>236</v>
      </c>
      <c r="C234" s="10"/>
      <c r="D234" s="10">
        <v>28000000</v>
      </c>
      <c r="E234" s="11">
        <f>+D234</f>
        <v>28000000</v>
      </c>
      <c r="F234" s="11"/>
      <c r="G234" s="11"/>
      <c r="H234" s="11"/>
      <c r="I234" s="11"/>
      <c r="J234" s="11"/>
      <c r="K234" s="11"/>
      <c r="L234" s="11">
        <f>+D234</f>
        <v>28000000</v>
      </c>
      <c r="M234" s="12"/>
      <c r="N234" s="12"/>
      <c r="P234" s="55"/>
      <c r="Q234" s="55"/>
      <c r="R234" s="14"/>
      <c r="S234" s="14"/>
    </row>
    <row r="235" spans="2:19" ht="12.95" hidden="1" customHeight="1" x14ac:dyDescent="0.25">
      <c r="B235" s="16">
        <v>42404</v>
      </c>
      <c r="C235" s="36" t="s">
        <v>237</v>
      </c>
      <c r="D235" s="34"/>
      <c r="E235" s="37">
        <v>7000000</v>
      </c>
      <c r="F235" s="37"/>
      <c r="G235" s="37">
        <f>+E235</f>
        <v>7000000</v>
      </c>
      <c r="H235" s="37">
        <v>0</v>
      </c>
      <c r="I235" s="37">
        <v>1293474.01</v>
      </c>
      <c r="J235" s="37">
        <v>59911.32</v>
      </c>
      <c r="K235" s="18">
        <f>+G235-I235-J235</f>
        <v>5646614.6699999999</v>
      </c>
      <c r="L235" s="19">
        <f>+L234-G235</f>
        <v>21000000</v>
      </c>
      <c r="M235" s="20"/>
      <c r="N235" s="20"/>
      <c r="P235" s="55"/>
      <c r="Q235" s="55"/>
      <c r="R235" s="14"/>
      <c r="S235" s="14"/>
    </row>
    <row r="236" spans="2:19" ht="12.95" hidden="1" customHeight="1" x14ac:dyDescent="0.25">
      <c r="B236" s="16">
        <v>42404</v>
      </c>
      <c r="C236" s="36" t="s">
        <v>238</v>
      </c>
      <c r="D236" s="55"/>
      <c r="E236" s="37">
        <v>7000000</v>
      </c>
      <c r="F236" s="37"/>
      <c r="G236" s="37">
        <f>+E236</f>
        <v>7000000</v>
      </c>
      <c r="H236" s="37">
        <v>0</v>
      </c>
      <c r="I236" s="37">
        <v>1456803.07</v>
      </c>
      <c r="J236" s="37">
        <v>59911.32</v>
      </c>
      <c r="K236" s="18">
        <f>+G236-I236-J236</f>
        <v>5483285.6099999994</v>
      </c>
      <c r="L236" s="19">
        <f>+L235-G236</f>
        <v>14000000</v>
      </c>
      <c r="M236" s="20"/>
      <c r="N236" s="20"/>
      <c r="P236" s="55"/>
      <c r="Q236" s="55"/>
      <c r="R236" s="14"/>
      <c r="S236" s="14"/>
    </row>
    <row r="237" spans="2:19" ht="12.95" hidden="1" customHeight="1" x14ac:dyDescent="0.25">
      <c r="B237" s="16">
        <v>42404</v>
      </c>
      <c r="C237" s="36" t="s">
        <v>239</v>
      </c>
      <c r="D237" s="55"/>
      <c r="E237" s="37">
        <v>7000000</v>
      </c>
      <c r="F237" s="37">
        <v>0</v>
      </c>
      <c r="G237" s="37">
        <f>+E237</f>
        <v>7000000</v>
      </c>
      <c r="H237" s="37">
        <v>0</v>
      </c>
      <c r="I237" s="59">
        <v>341378.01</v>
      </c>
      <c r="J237" s="56">
        <v>59911.32</v>
      </c>
      <c r="K237" s="18">
        <f>+G237-I237-J237</f>
        <v>6598710.6699999999</v>
      </c>
      <c r="L237" s="19">
        <f>+L236-G237</f>
        <v>7000000</v>
      </c>
      <c r="M237" s="20"/>
      <c r="N237" s="20"/>
      <c r="P237" s="55"/>
      <c r="Q237" s="55"/>
      <c r="R237" s="14"/>
      <c r="S237" s="14"/>
    </row>
    <row r="238" spans="2:19" ht="12.95" hidden="1" customHeight="1" x14ac:dyDescent="0.25">
      <c r="B238" s="16">
        <v>42405</v>
      </c>
      <c r="C238" s="36" t="s">
        <v>240</v>
      </c>
      <c r="D238" s="55"/>
      <c r="E238" s="37">
        <v>6533333.3300000001</v>
      </c>
      <c r="F238" s="56"/>
      <c r="G238" s="37">
        <f>+E238</f>
        <v>6533333.3300000001</v>
      </c>
      <c r="H238" s="37">
        <v>0</v>
      </c>
      <c r="I238" s="37">
        <v>1422580.52</v>
      </c>
      <c r="J238" s="37">
        <v>55917.23</v>
      </c>
      <c r="K238" s="18">
        <f>+G238-I238-J238</f>
        <v>5054835.58</v>
      </c>
      <c r="L238" s="19">
        <f>+L237-G238</f>
        <v>466666.66999999993</v>
      </c>
      <c r="M238" s="20"/>
      <c r="N238" s="20"/>
      <c r="P238" s="55"/>
      <c r="Q238" s="55"/>
      <c r="R238" s="14"/>
      <c r="S238" s="14"/>
    </row>
    <row r="239" spans="2:19" ht="12.95" hidden="1" customHeight="1" x14ac:dyDescent="0.25">
      <c r="B239" s="16">
        <v>42405</v>
      </c>
      <c r="C239" s="36" t="s">
        <v>166</v>
      </c>
      <c r="D239" s="55"/>
      <c r="E239" s="37">
        <v>466666.66999999993</v>
      </c>
      <c r="F239" s="56"/>
      <c r="G239" s="37">
        <v>466666.66999999993</v>
      </c>
      <c r="H239" s="37">
        <v>0</v>
      </c>
      <c r="I239" s="37">
        <v>0</v>
      </c>
      <c r="J239" s="37">
        <v>0</v>
      </c>
      <c r="K239" s="18">
        <v>466666.66999999993</v>
      </c>
      <c r="L239" s="19">
        <f>+L238-G239</f>
        <v>0</v>
      </c>
      <c r="M239" s="20"/>
      <c r="N239" s="20"/>
      <c r="P239" s="55"/>
      <c r="Q239" s="55"/>
      <c r="R239" s="14"/>
      <c r="S239" s="14"/>
    </row>
    <row r="240" spans="2:19" ht="12.95" hidden="1" customHeight="1" x14ac:dyDescent="0.25">
      <c r="B240" s="9" t="s">
        <v>241</v>
      </c>
      <c r="C240" s="10"/>
      <c r="D240" s="10">
        <v>265849245</v>
      </c>
      <c r="E240" s="11">
        <f>+D240</f>
        <v>265849245</v>
      </c>
      <c r="F240" s="11"/>
      <c r="G240" s="11"/>
      <c r="H240" s="11"/>
      <c r="I240" s="11"/>
      <c r="J240" s="11"/>
      <c r="K240" s="11"/>
      <c r="L240" s="11">
        <f>+D240</f>
        <v>265849245</v>
      </c>
      <c r="M240" s="12"/>
      <c r="N240" s="12"/>
      <c r="P240" s="55"/>
      <c r="Q240" s="55"/>
      <c r="R240" s="14"/>
      <c r="S240" s="14"/>
    </row>
    <row r="241" spans="2:19" ht="12.95" hidden="1" customHeight="1" x14ac:dyDescent="0.25">
      <c r="B241" s="16">
        <v>42402</v>
      </c>
      <c r="C241" s="36" t="s">
        <v>242</v>
      </c>
      <c r="D241" s="34"/>
      <c r="E241" s="37">
        <v>75000000</v>
      </c>
      <c r="F241" s="37"/>
      <c r="G241" s="37">
        <f>+E241</f>
        <v>75000000</v>
      </c>
      <c r="H241" s="37">
        <v>0</v>
      </c>
      <c r="I241" s="37">
        <v>0</v>
      </c>
      <c r="J241" s="37">
        <v>0</v>
      </c>
      <c r="K241" s="18">
        <f>+G241-I241-J241</f>
        <v>75000000</v>
      </c>
      <c r="L241" s="19">
        <f>+L240-G241</f>
        <v>190849245</v>
      </c>
      <c r="M241" s="20"/>
      <c r="N241" s="20"/>
      <c r="P241" s="55"/>
      <c r="Q241" s="55"/>
      <c r="R241" s="14"/>
      <c r="S241" s="14"/>
    </row>
    <row r="242" spans="2:19" ht="12.95" hidden="1" customHeight="1" x14ac:dyDescent="0.25">
      <c r="B242" s="16">
        <v>42576</v>
      </c>
      <c r="C242" s="36" t="s">
        <v>243</v>
      </c>
      <c r="D242" s="34"/>
      <c r="E242" s="37">
        <v>76339698</v>
      </c>
      <c r="F242" s="37"/>
      <c r="G242" s="37">
        <f>+E242</f>
        <v>76339698</v>
      </c>
      <c r="H242" s="37">
        <v>0</v>
      </c>
      <c r="I242" s="37">
        <v>0</v>
      </c>
      <c r="J242" s="37">
        <v>0</v>
      </c>
      <c r="K242" s="18">
        <f>+G242-I242-J242</f>
        <v>76339698</v>
      </c>
      <c r="L242" s="19">
        <f>+L241-G242</f>
        <v>114509547</v>
      </c>
      <c r="M242" s="20"/>
      <c r="N242" s="20"/>
      <c r="P242" s="55"/>
      <c r="Q242" s="55"/>
      <c r="R242" s="14"/>
      <c r="S242" s="14"/>
    </row>
    <row r="243" spans="2:19" ht="12.95" hidden="1" customHeight="1" x14ac:dyDescent="0.25">
      <c r="B243" s="16">
        <v>43053</v>
      </c>
      <c r="C243" s="36" t="s">
        <v>244</v>
      </c>
      <c r="D243" s="34"/>
      <c r="E243" s="37">
        <v>57254773.5</v>
      </c>
      <c r="F243" s="37"/>
      <c r="G243" s="37">
        <f>+E243</f>
        <v>57254773.5</v>
      </c>
      <c r="H243" s="37">
        <v>0</v>
      </c>
      <c r="I243" s="37">
        <v>0</v>
      </c>
      <c r="J243" s="37">
        <v>0</v>
      </c>
      <c r="K243" s="18">
        <f>+G243-I243-J243</f>
        <v>57254773.5</v>
      </c>
      <c r="L243" s="19">
        <f>+L242-G243</f>
        <v>57254773.5</v>
      </c>
      <c r="M243" s="20"/>
      <c r="N243" s="20"/>
      <c r="P243" s="55"/>
      <c r="Q243" s="55"/>
      <c r="R243" s="14"/>
      <c r="S243" s="14"/>
    </row>
    <row r="244" spans="2:19" ht="12.95" hidden="1" customHeight="1" x14ac:dyDescent="0.25">
      <c r="B244" s="16">
        <v>43097.125</v>
      </c>
      <c r="C244" s="36" t="s">
        <v>245</v>
      </c>
      <c r="D244" s="34"/>
      <c r="E244" s="37">
        <v>57254773.5</v>
      </c>
      <c r="F244" s="37"/>
      <c r="G244" s="37">
        <f>+E244</f>
        <v>57254773.5</v>
      </c>
      <c r="H244" s="37">
        <v>0</v>
      </c>
      <c r="I244" s="37">
        <v>0</v>
      </c>
      <c r="J244" s="37">
        <v>0</v>
      </c>
      <c r="K244" s="18">
        <f>+G244-I244-J244</f>
        <v>57254773.5</v>
      </c>
      <c r="L244" s="19">
        <f>+L243-G244</f>
        <v>0</v>
      </c>
      <c r="M244" s="20"/>
      <c r="N244" s="20"/>
      <c r="P244" s="55"/>
      <c r="Q244" s="55"/>
      <c r="R244" s="14"/>
      <c r="S244" s="14"/>
    </row>
    <row r="245" spans="2:19" ht="12.95" hidden="1" customHeight="1" x14ac:dyDescent="0.25">
      <c r="B245" s="9" t="s">
        <v>246</v>
      </c>
      <c r="C245" s="10"/>
      <c r="D245" s="10">
        <v>165880000</v>
      </c>
      <c r="E245" s="11">
        <f>+D245</f>
        <v>165880000</v>
      </c>
      <c r="F245" s="11"/>
      <c r="G245" s="11"/>
      <c r="H245" s="11"/>
      <c r="I245" s="11"/>
      <c r="J245" s="11"/>
      <c r="K245" s="11"/>
      <c r="L245" s="11">
        <f>+D245</f>
        <v>165880000</v>
      </c>
      <c r="M245" s="12"/>
      <c r="N245" s="12"/>
      <c r="P245" s="55"/>
      <c r="Q245" s="55"/>
      <c r="R245" s="14"/>
      <c r="S245" s="14"/>
    </row>
    <row r="246" spans="2:19" ht="12.95" hidden="1" customHeight="1" x14ac:dyDescent="0.25">
      <c r="B246" s="16">
        <v>42404</v>
      </c>
      <c r="C246" s="36" t="s">
        <v>237</v>
      </c>
      <c r="D246" s="34"/>
      <c r="E246" s="37">
        <v>74646000</v>
      </c>
      <c r="F246" s="37"/>
      <c r="G246" s="37">
        <f>+E246</f>
        <v>74646000</v>
      </c>
      <c r="H246" s="37">
        <v>1544400</v>
      </c>
      <c r="I246" s="37">
        <v>2252250</v>
      </c>
      <c r="J246" s="37">
        <v>621621</v>
      </c>
      <c r="K246" s="18">
        <f>+G246-H246-I246-J246</f>
        <v>70227729</v>
      </c>
      <c r="L246" s="19">
        <f>+L245-G246</f>
        <v>91234000</v>
      </c>
      <c r="M246" s="20"/>
      <c r="N246" s="20"/>
      <c r="P246" s="55"/>
      <c r="Q246" s="55"/>
      <c r="R246" s="14"/>
      <c r="S246" s="14"/>
    </row>
    <row r="247" spans="2:19" ht="12.95" hidden="1" customHeight="1" x14ac:dyDescent="0.25">
      <c r="B247" s="16">
        <v>42502</v>
      </c>
      <c r="C247" s="36" t="s">
        <v>247</v>
      </c>
      <c r="D247" s="34"/>
      <c r="E247" s="37">
        <v>58058000</v>
      </c>
      <c r="F247" s="37"/>
      <c r="G247" s="37">
        <f>+E247</f>
        <v>58058000</v>
      </c>
      <c r="H247" s="37">
        <v>1201200</v>
      </c>
      <c r="I247" s="37">
        <v>1751750</v>
      </c>
      <c r="J247" s="37">
        <v>483483</v>
      </c>
      <c r="K247" s="18">
        <f>+G247-H247-I247-J247</f>
        <v>54621567</v>
      </c>
      <c r="L247" s="19">
        <f>+L246-G247</f>
        <v>33176000</v>
      </c>
      <c r="M247" s="20"/>
      <c r="N247" s="20"/>
      <c r="P247" s="55"/>
      <c r="Q247" s="55"/>
      <c r="R247" s="14"/>
      <c r="S247" s="14"/>
    </row>
    <row r="248" spans="2:19" ht="12.95" hidden="1" customHeight="1" x14ac:dyDescent="0.25">
      <c r="B248" s="16">
        <v>42584</v>
      </c>
      <c r="C248" s="50" t="s">
        <v>248</v>
      </c>
      <c r="D248" s="34"/>
      <c r="E248" s="37">
        <v>33176000</v>
      </c>
      <c r="F248" s="37"/>
      <c r="G248" s="37">
        <f>+E248</f>
        <v>33176000</v>
      </c>
      <c r="H248" s="37">
        <v>686400</v>
      </c>
      <c r="I248" s="37">
        <v>1001000</v>
      </c>
      <c r="J248" s="37">
        <v>276276</v>
      </c>
      <c r="K248" s="18">
        <f>+G248-H248-I248-J248</f>
        <v>31212324</v>
      </c>
      <c r="L248" s="19">
        <f>+L247-G248</f>
        <v>0</v>
      </c>
      <c r="M248" s="20"/>
      <c r="N248" s="20"/>
      <c r="P248" s="55"/>
      <c r="Q248" s="55"/>
      <c r="R248" s="14"/>
      <c r="S248" s="14"/>
    </row>
    <row r="249" spans="2:19" ht="12.95" hidden="1" customHeight="1" x14ac:dyDescent="0.25">
      <c r="B249" s="9" t="s">
        <v>249</v>
      </c>
      <c r="C249" s="10"/>
      <c r="D249" s="10">
        <v>32000000</v>
      </c>
      <c r="E249" s="11">
        <f>+D249</f>
        <v>32000000</v>
      </c>
      <c r="F249" s="11"/>
      <c r="G249" s="11"/>
      <c r="H249" s="11"/>
      <c r="I249" s="11"/>
      <c r="J249" s="11"/>
      <c r="K249" s="11"/>
      <c r="L249" s="11">
        <f>+D249</f>
        <v>32000000</v>
      </c>
      <c r="M249" s="12"/>
      <c r="N249" s="12"/>
      <c r="P249" s="55"/>
      <c r="Q249" s="55"/>
      <c r="R249" s="14"/>
      <c r="S249" s="14"/>
    </row>
    <row r="250" spans="2:19" ht="12.95" hidden="1" customHeight="1" x14ac:dyDescent="0.25">
      <c r="B250" s="16">
        <v>42417</v>
      </c>
      <c r="C250" s="36" t="s">
        <v>250</v>
      </c>
      <c r="D250" s="34"/>
      <c r="E250" s="56">
        <v>8000000</v>
      </c>
      <c r="F250" s="37"/>
      <c r="G250" s="37">
        <f>+E250</f>
        <v>8000000</v>
      </c>
      <c r="H250" s="37">
        <v>0</v>
      </c>
      <c r="I250" s="37">
        <v>372741.92</v>
      </c>
      <c r="J250" s="37">
        <v>73416</v>
      </c>
      <c r="K250" s="18">
        <f>+G250-I250-J250</f>
        <v>7553842.0800000001</v>
      </c>
      <c r="L250" s="19">
        <f>+L249-G250</f>
        <v>24000000</v>
      </c>
      <c r="M250" s="20"/>
      <c r="N250" s="20"/>
      <c r="P250" s="55"/>
      <c r="Q250" s="55"/>
      <c r="R250" s="14"/>
      <c r="S250" s="14"/>
    </row>
    <row r="251" spans="2:19" ht="12.95" hidden="1" customHeight="1" x14ac:dyDescent="0.25">
      <c r="B251" s="16">
        <v>42417</v>
      </c>
      <c r="C251" s="55" t="s">
        <v>251</v>
      </c>
      <c r="D251" s="55"/>
      <c r="E251" s="56">
        <v>8000000</v>
      </c>
      <c r="F251" s="56"/>
      <c r="G251" s="37">
        <f>+E251</f>
        <v>8000000</v>
      </c>
      <c r="H251" s="56">
        <v>0</v>
      </c>
      <c r="I251" s="56">
        <v>1560552.82</v>
      </c>
      <c r="J251" s="56">
        <v>73416</v>
      </c>
      <c r="K251" s="18">
        <f>+G251-I251-J251</f>
        <v>6366031.1799999997</v>
      </c>
      <c r="L251" s="19">
        <f>+L250-G251</f>
        <v>16000000</v>
      </c>
      <c r="M251" s="20"/>
      <c r="N251" s="20"/>
      <c r="P251" s="55"/>
      <c r="Q251" s="55"/>
      <c r="R251" s="14"/>
      <c r="S251" s="14"/>
    </row>
    <row r="252" spans="2:19" ht="12.95" hidden="1" customHeight="1" x14ac:dyDescent="0.25">
      <c r="B252" s="16">
        <v>42418</v>
      </c>
      <c r="C252" s="55" t="s">
        <v>252</v>
      </c>
      <c r="D252" s="55"/>
      <c r="E252" s="56">
        <v>8000000</v>
      </c>
      <c r="F252" s="56"/>
      <c r="G252" s="37">
        <f>+E252</f>
        <v>8000000</v>
      </c>
      <c r="H252" s="56">
        <v>0</v>
      </c>
      <c r="I252" s="56">
        <v>1862511.71</v>
      </c>
      <c r="J252" s="56">
        <v>73416</v>
      </c>
      <c r="K252" s="18">
        <f>+G252-I252-J252</f>
        <v>6064072.29</v>
      </c>
      <c r="L252" s="19">
        <f>+L251-G252</f>
        <v>8000000</v>
      </c>
      <c r="M252" s="20"/>
      <c r="N252" s="20"/>
      <c r="P252" s="55"/>
      <c r="Q252" s="55"/>
      <c r="R252" s="14"/>
      <c r="S252" s="14"/>
    </row>
    <row r="253" spans="2:19" ht="12.95" hidden="1" customHeight="1" x14ac:dyDescent="0.25">
      <c r="B253" s="16">
        <v>42471</v>
      </c>
      <c r="C253" s="55" t="s">
        <v>253</v>
      </c>
      <c r="D253" s="55"/>
      <c r="E253" s="56">
        <v>7466666.6699999999</v>
      </c>
      <c r="F253" s="56"/>
      <c r="G253" s="37">
        <f>+E253</f>
        <v>7466666.6699999999</v>
      </c>
      <c r="H253" s="56">
        <v>0</v>
      </c>
      <c r="I253" s="56">
        <v>297141.75</v>
      </c>
      <c r="J253" s="56">
        <v>68521.600000000006</v>
      </c>
      <c r="K253" s="18">
        <f>+G253-I253-J253</f>
        <v>7101003.3200000003</v>
      </c>
      <c r="L253" s="19">
        <f>+L252-G253</f>
        <v>533333.33000000007</v>
      </c>
      <c r="M253" s="20"/>
      <c r="N253" s="20"/>
      <c r="P253" s="55"/>
      <c r="Q253" s="55"/>
      <c r="R253" s="14"/>
      <c r="S253" s="14"/>
    </row>
    <row r="254" spans="2:19" ht="12.95" hidden="1" customHeight="1" x14ac:dyDescent="0.25">
      <c r="B254" s="16">
        <v>42471</v>
      </c>
      <c r="C254" s="55" t="s">
        <v>166</v>
      </c>
      <c r="D254" s="55"/>
      <c r="E254" s="56">
        <v>533333.33000000007</v>
      </c>
      <c r="F254" s="56"/>
      <c r="G254" s="37">
        <f>+E254</f>
        <v>533333.33000000007</v>
      </c>
      <c r="H254" s="56">
        <v>0</v>
      </c>
      <c r="I254" s="56">
        <v>0</v>
      </c>
      <c r="J254" s="56">
        <v>0</v>
      </c>
      <c r="K254" s="18">
        <f>+G254-I254-J254</f>
        <v>533333.33000000007</v>
      </c>
      <c r="L254" s="19">
        <f>+L253-G254</f>
        <v>0</v>
      </c>
      <c r="M254" s="20"/>
      <c r="N254" s="20"/>
      <c r="P254" s="55"/>
      <c r="Q254" s="55"/>
      <c r="R254" s="14"/>
      <c r="S254" s="14"/>
    </row>
    <row r="255" spans="2:19" ht="12.95" hidden="1" customHeight="1" x14ac:dyDescent="0.25">
      <c r="B255" s="9" t="s">
        <v>254</v>
      </c>
      <c r="C255" s="10"/>
      <c r="D255" s="10">
        <f>809999999.67+160000000.33</f>
        <v>970000000</v>
      </c>
      <c r="E255" s="11">
        <f>+D255</f>
        <v>970000000</v>
      </c>
      <c r="F255" s="11"/>
      <c r="G255" s="11"/>
      <c r="H255" s="11"/>
      <c r="I255" s="11"/>
      <c r="J255" s="11"/>
      <c r="K255" s="11"/>
      <c r="L255" s="11">
        <f>+D255</f>
        <v>970000000</v>
      </c>
      <c r="M255" s="12"/>
      <c r="N255" s="12"/>
      <c r="O255" s="60"/>
      <c r="P255" s="55"/>
      <c r="Q255" s="55"/>
      <c r="R255" s="14"/>
      <c r="S255" s="14"/>
    </row>
    <row r="256" spans="2:19" ht="12.95" hidden="1" customHeight="1" x14ac:dyDescent="0.25">
      <c r="B256" s="16">
        <v>42250</v>
      </c>
      <c r="C256" s="36" t="s">
        <v>255</v>
      </c>
      <c r="D256" s="34"/>
      <c r="E256" s="37">
        <v>404999999.83999997</v>
      </c>
      <c r="F256" s="37"/>
      <c r="G256" s="37">
        <f>+E256</f>
        <v>404999999.83999997</v>
      </c>
      <c r="H256" s="37">
        <v>0</v>
      </c>
      <c r="I256" s="37">
        <v>372741.92</v>
      </c>
      <c r="J256" s="37">
        <v>73416</v>
      </c>
      <c r="K256" s="18">
        <f>+G256-I256-J256</f>
        <v>404553841.91999996</v>
      </c>
      <c r="L256" s="19">
        <f>+L255-G256</f>
        <v>565000000.16000009</v>
      </c>
      <c r="M256" s="20"/>
      <c r="N256" s="20"/>
      <c r="P256" s="55"/>
      <c r="Q256" s="55"/>
      <c r="R256" s="14"/>
      <c r="S256" s="14"/>
    </row>
    <row r="257" spans="2:254" ht="12.95" hidden="1" customHeight="1" x14ac:dyDescent="0.25">
      <c r="B257" s="16">
        <v>42409</v>
      </c>
      <c r="C257" s="36" t="s">
        <v>256</v>
      </c>
      <c r="D257" s="55"/>
      <c r="E257" s="37">
        <v>404999999.82999998</v>
      </c>
      <c r="F257" s="56"/>
      <c r="G257" s="37">
        <f>+E257</f>
        <v>404999999.82999998</v>
      </c>
      <c r="H257" s="56">
        <v>0</v>
      </c>
      <c r="I257" s="56">
        <v>1560552.82</v>
      </c>
      <c r="J257" s="56">
        <v>73416</v>
      </c>
      <c r="K257" s="18">
        <f>+G257-I257-J257</f>
        <v>403366031.00999999</v>
      </c>
      <c r="L257" s="18">
        <f>+L256-G257</f>
        <v>160000000.3300001</v>
      </c>
      <c r="M257" s="41"/>
      <c r="N257" s="41"/>
      <c r="P257" s="55"/>
      <c r="Q257" s="55"/>
      <c r="R257" s="14"/>
      <c r="S257" s="14"/>
    </row>
    <row r="258" spans="2:254" ht="12.95" hidden="1" customHeight="1" x14ac:dyDescent="0.25">
      <c r="B258" s="16">
        <v>42654</v>
      </c>
      <c r="C258" s="36" t="s">
        <v>257</v>
      </c>
      <c r="D258" s="55"/>
      <c r="E258" s="37">
        <v>10593017</v>
      </c>
      <c r="F258" s="56"/>
      <c r="G258" s="37">
        <v>10593017</v>
      </c>
      <c r="H258" s="56">
        <v>0</v>
      </c>
      <c r="I258" s="56"/>
      <c r="J258" s="56"/>
      <c r="K258" s="18">
        <f>+G258-I258-J258</f>
        <v>10593017</v>
      </c>
      <c r="L258" s="18">
        <f>+L257-G258</f>
        <v>149406983.3300001</v>
      </c>
      <c r="M258" s="41"/>
      <c r="N258" s="41"/>
      <c r="O258" s="60"/>
      <c r="P258" s="49"/>
      <c r="Q258" s="49"/>
      <c r="R258" s="14"/>
      <c r="S258" s="14"/>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c r="BD258" s="60"/>
      <c r="BE258" s="60"/>
      <c r="BF258" s="60"/>
      <c r="BG258" s="60"/>
      <c r="BH258" s="60"/>
      <c r="BI258" s="60"/>
      <c r="BJ258" s="60"/>
      <c r="BK258" s="60"/>
      <c r="BL258" s="60"/>
      <c r="BM258" s="60"/>
      <c r="BN258" s="60"/>
      <c r="BO258" s="60"/>
      <c r="BP258" s="60"/>
      <c r="BQ258" s="60"/>
      <c r="BR258" s="60"/>
      <c r="BS258" s="60"/>
      <c r="BT258" s="60"/>
      <c r="BU258" s="60"/>
      <c r="BV258" s="60"/>
      <c r="BW258" s="60"/>
      <c r="BX258" s="60"/>
      <c r="BY258" s="60"/>
      <c r="BZ258" s="60"/>
      <c r="CA258" s="60"/>
      <c r="CB258" s="60"/>
      <c r="CC258" s="60"/>
      <c r="CD258" s="60"/>
      <c r="CE258" s="60"/>
      <c r="CF258" s="60"/>
      <c r="CG258" s="60"/>
      <c r="CH258" s="60"/>
      <c r="CI258" s="60"/>
      <c r="CJ258" s="60"/>
      <c r="CK258" s="60"/>
      <c r="CL258" s="60"/>
      <c r="CM258" s="60"/>
      <c r="CN258" s="60"/>
      <c r="CO258" s="60"/>
      <c r="CP258" s="60"/>
      <c r="CQ258" s="60"/>
      <c r="CR258" s="60"/>
      <c r="CS258" s="60"/>
      <c r="CT258" s="60"/>
      <c r="CU258" s="60"/>
      <c r="CV258" s="60"/>
      <c r="CW258" s="60"/>
      <c r="CX258" s="60"/>
      <c r="CY258" s="60"/>
      <c r="CZ258" s="60"/>
      <c r="DA258" s="60"/>
      <c r="DB258" s="60"/>
      <c r="DC258" s="60"/>
      <c r="DD258" s="60"/>
      <c r="DE258" s="60"/>
      <c r="DF258" s="60"/>
      <c r="DG258" s="60"/>
      <c r="DH258" s="60"/>
      <c r="DI258" s="60"/>
      <c r="DJ258" s="60"/>
      <c r="DK258" s="60"/>
      <c r="DL258" s="60"/>
      <c r="DM258" s="60"/>
      <c r="DN258" s="60"/>
      <c r="DO258" s="60"/>
      <c r="DP258" s="60"/>
      <c r="DQ258" s="60"/>
      <c r="DR258" s="60"/>
      <c r="DS258" s="60"/>
      <c r="DT258" s="60"/>
      <c r="DU258" s="60"/>
      <c r="DV258" s="60"/>
      <c r="DW258" s="60"/>
      <c r="DX258" s="60"/>
      <c r="DY258" s="60"/>
      <c r="DZ258" s="60"/>
      <c r="EA258" s="60"/>
      <c r="EB258" s="60"/>
      <c r="EC258" s="60"/>
      <c r="ED258" s="60"/>
      <c r="EE258" s="60"/>
      <c r="EF258" s="60"/>
      <c r="EG258" s="60"/>
      <c r="EH258" s="60"/>
      <c r="EI258" s="60"/>
      <c r="EJ258" s="60"/>
      <c r="EK258" s="60"/>
      <c r="EL258" s="60"/>
      <c r="EM258" s="60"/>
      <c r="EN258" s="60"/>
      <c r="EO258" s="60"/>
      <c r="EP258" s="60"/>
      <c r="EQ258" s="60"/>
      <c r="ER258" s="60"/>
      <c r="ES258" s="60"/>
      <c r="ET258" s="60"/>
      <c r="EU258" s="60"/>
      <c r="EV258" s="60"/>
      <c r="EW258" s="60"/>
      <c r="EX258" s="60"/>
      <c r="EY258" s="60"/>
      <c r="EZ258" s="60"/>
      <c r="FA258" s="60"/>
      <c r="FB258" s="60"/>
      <c r="FC258" s="60"/>
      <c r="FD258" s="60"/>
      <c r="FE258" s="60"/>
      <c r="FF258" s="60"/>
      <c r="FG258" s="60"/>
      <c r="FH258" s="60"/>
      <c r="FI258" s="60"/>
      <c r="FJ258" s="60"/>
      <c r="FK258" s="60"/>
      <c r="FL258" s="60"/>
      <c r="FM258" s="60"/>
      <c r="FN258" s="60"/>
      <c r="FO258" s="60"/>
      <c r="FP258" s="60"/>
      <c r="FQ258" s="60"/>
      <c r="FR258" s="60"/>
      <c r="FS258" s="60"/>
      <c r="FT258" s="60"/>
      <c r="FU258" s="60"/>
      <c r="FV258" s="60"/>
      <c r="FW258" s="60"/>
      <c r="FX258" s="60"/>
      <c r="FY258" s="60"/>
      <c r="FZ258" s="60"/>
      <c r="GA258" s="60"/>
      <c r="GB258" s="60"/>
      <c r="GC258" s="60"/>
      <c r="GD258" s="60"/>
      <c r="GE258" s="60"/>
      <c r="GF258" s="60"/>
      <c r="GG258" s="60"/>
      <c r="GH258" s="60"/>
      <c r="GI258" s="60"/>
      <c r="GJ258" s="60"/>
      <c r="GK258" s="60"/>
      <c r="GL258" s="60"/>
      <c r="GM258" s="60"/>
      <c r="GN258" s="60"/>
      <c r="GO258" s="60"/>
      <c r="GP258" s="60"/>
      <c r="GQ258" s="60"/>
      <c r="GR258" s="60"/>
      <c r="GS258" s="60"/>
      <c r="GT258" s="60"/>
      <c r="GU258" s="60"/>
      <c r="GV258" s="60"/>
      <c r="GW258" s="60"/>
      <c r="GX258" s="60"/>
      <c r="GY258" s="60"/>
      <c r="GZ258" s="60"/>
      <c r="HA258" s="60"/>
      <c r="HB258" s="60"/>
      <c r="HC258" s="60"/>
      <c r="HD258" s="60"/>
      <c r="HE258" s="60"/>
      <c r="HF258" s="60"/>
      <c r="HG258" s="60"/>
      <c r="HH258" s="60"/>
      <c r="HI258" s="60"/>
      <c r="HJ258" s="60"/>
      <c r="HK258" s="60"/>
      <c r="HL258" s="60"/>
      <c r="HM258" s="60"/>
      <c r="HN258" s="60"/>
      <c r="HO258" s="60"/>
      <c r="HP258" s="60"/>
      <c r="HQ258" s="60"/>
      <c r="HR258" s="60"/>
      <c r="HS258" s="60"/>
      <c r="HT258" s="60"/>
      <c r="HU258" s="60"/>
      <c r="HV258" s="60"/>
      <c r="HW258" s="60"/>
      <c r="HX258" s="60"/>
      <c r="HY258" s="60"/>
      <c r="HZ258" s="60"/>
      <c r="IA258" s="60"/>
      <c r="IB258" s="60"/>
      <c r="IC258" s="60"/>
      <c r="ID258" s="60"/>
      <c r="IE258" s="60"/>
      <c r="IF258" s="60"/>
      <c r="IG258" s="60"/>
      <c r="IH258" s="60"/>
      <c r="II258" s="60"/>
      <c r="IJ258" s="60"/>
      <c r="IK258" s="60"/>
      <c r="IL258" s="60"/>
      <c r="IM258" s="60"/>
      <c r="IN258" s="60"/>
      <c r="IO258" s="60"/>
      <c r="IP258" s="60"/>
      <c r="IQ258" s="60"/>
      <c r="IR258" s="60"/>
      <c r="IS258" s="60"/>
      <c r="IT258" s="60"/>
    </row>
    <row r="259" spans="2:254" ht="12.95" hidden="1" customHeight="1" x14ac:dyDescent="0.25">
      <c r="B259" s="9" t="s">
        <v>258</v>
      </c>
      <c r="C259" s="10"/>
      <c r="D259" s="11">
        <f>871591390+2168401980+845676774+657748602</f>
        <v>4543418746</v>
      </c>
      <c r="E259" s="11">
        <f>+D259</f>
        <v>4543418746</v>
      </c>
      <c r="F259" s="11"/>
      <c r="G259" s="11"/>
      <c r="H259" s="11"/>
      <c r="I259" s="11"/>
      <c r="J259" s="11"/>
      <c r="K259" s="11"/>
      <c r="L259" s="11">
        <f>+D259</f>
        <v>4543418746</v>
      </c>
      <c r="M259" s="12"/>
      <c r="N259" s="12"/>
      <c r="P259" s="55"/>
      <c r="Q259" s="55"/>
      <c r="R259" s="14"/>
      <c r="S259" s="14"/>
    </row>
    <row r="260" spans="2:254" ht="12.95" hidden="1" customHeight="1" x14ac:dyDescent="0.25">
      <c r="B260" s="16">
        <v>42437</v>
      </c>
      <c r="C260" s="36" t="s">
        <v>259</v>
      </c>
      <c r="D260" s="34"/>
      <c r="E260" s="56">
        <v>174318278</v>
      </c>
      <c r="F260" s="18"/>
      <c r="G260" s="49">
        <f t="shared" ref="G260:G283" si="32">+E260</f>
        <v>174318278</v>
      </c>
      <c r="H260" s="61">
        <v>0</v>
      </c>
      <c r="I260" s="61">
        <v>0</v>
      </c>
      <c r="J260" s="37">
        <v>0</v>
      </c>
      <c r="K260" s="18">
        <f t="shared" ref="K260:K283" si="33">+G260-H260-I260-J260</f>
        <v>174318278</v>
      </c>
      <c r="L260" s="19">
        <f t="shared" ref="L260:L283" si="34">+L259-G260</f>
        <v>4369100468</v>
      </c>
      <c r="M260" s="20"/>
      <c r="N260" s="20"/>
      <c r="P260" s="55"/>
      <c r="Q260" s="55"/>
      <c r="R260" s="14"/>
      <c r="S260" s="14"/>
    </row>
    <row r="261" spans="2:254" ht="12.95" hidden="1" customHeight="1" x14ac:dyDescent="0.25">
      <c r="B261" s="16">
        <v>42437</v>
      </c>
      <c r="C261" s="62" t="s">
        <v>260</v>
      </c>
      <c r="D261" s="62"/>
      <c r="E261" s="56">
        <v>174318278</v>
      </c>
      <c r="F261" s="61"/>
      <c r="G261" s="49">
        <f t="shared" si="32"/>
        <v>174318278</v>
      </c>
      <c r="H261" s="61">
        <v>0</v>
      </c>
      <c r="I261" s="61">
        <v>0</v>
      </c>
      <c r="J261" s="61">
        <v>0</v>
      </c>
      <c r="K261" s="18">
        <f t="shared" si="33"/>
        <v>174318278</v>
      </c>
      <c r="L261" s="19">
        <f t="shared" si="34"/>
        <v>4194782190</v>
      </c>
      <c r="M261" s="20"/>
      <c r="N261" s="20"/>
      <c r="P261" s="55"/>
      <c r="Q261" s="55"/>
      <c r="R261" s="14"/>
      <c r="S261" s="14"/>
    </row>
    <row r="262" spans="2:254" ht="12.95" hidden="1" customHeight="1" x14ac:dyDescent="0.25">
      <c r="B262" s="16">
        <v>42437</v>
      </c>
      <c r="C262" s="62" t="s">
        <v>261</v>
      </c>
      <c r="D262" s="62"/>
      <c r="E262" s="56">
        <v>174318278</v>
      </c>
      <c r="F262" s="61"/>
      <c r="G262" s="49">
        <f t="shared" si="32"/>
        <v>174318278</v>
      </c>
      <c r="H262" s="61">
        <v>0</v>
      </c>
      <c r="I262" s="61">
        <v>0</v>
      </c>
      <c r="J262" s="61">
        <v>0</v>
      </c>
      <c r="K262" s="18">
        <f t="shared" si="33"/>
        <v>174318278</v>
      </c>
      <c r="L262" s="19">
        <f t="shared" si="34"/>
        <v>4020463912</v>
      </c>
      <c r="M262" s="20"/>
      <c r="N262" s="20"/>
      <c r="P262" s="55"/>
      <c r="Q262" s="55"/>
      <c r="R262" s="14"/>
      <c r="S262" s="14"/>
    </row>
    <row r="263" spans="2:254" ht="12.95" hidden="1" customHeight="1" x14ac:dyDescent="0.25">
      <c r="B263" s="16">
        <v>42437</v>
      </c>
      <c r="C263" s="62" t="s">
        <v>262</v>
      </c>
      <c r="D263" s="62"/>
      <c r="E263" s="56">
        <v>174318278</v>
      </c>
      <c r="F263" s="61"/>
      <c r="G263" s="49">
        <f t="shared" si="32"/>
        <v>174318278</v>
      </c>
      <c r="H263" s="61">
        <v>0</v>
      </c>
      <c r="I263" s="61">
        <v>0</v>
      </c>
      <c r="J263" s="61">
        <v>0</v>
      </c>
      <c r="K263" s="18">
        <f t="shared" si="33"/>
        <v>174318278</v>
      </c>
      <c r="L263" s="19">
        <f t="shared" si="34"/>
        <v>3846145634</v>
      </c>
      <c r="M263" s="20"/>
      <c r="N263" s="20"/>
      <c r="P263" s="55"/>
      <c r="Q263" s="55"/>
      <c r="R263" s="14"/>
      <c r="S263" s="14"/>
    </row>
    <row r="264" spans="2:254" ht="12.95" hidden="1" customHeight="1" x14ac:dyDescent="0.25">
      <c r="B264" s="16">
        <v>42437</v>
      </c>
      <c r="C264" s="62" t="s">
        <v>263</v>
      </c>
      <c r="D264" s="62"/>
      <c r="E264" s="56">
        <v>174318278</v>
      </c>
      <c r="F264" s="61"/>
      <c r="G264" s="49">
        <f t="shared" si="32"/>
        <v>174318278</v>
      </c>
      <c r="H264" s="61">
        <v>0</v>
      </c>
      <c r="I264" s="61">
        <v>0</v>
      </c>
      <c r="J264" s="61">
        <v>0</v>
      </c>
      <c r="K264" s="18">
        <f t="shared" si="33"/>
        <v>174318278</v>
      </c>
      <c r="L264" s="19">
        <f t="shared" si="34"/>
        <v>3671827356</v>
      </c>
      <c r="M264" s="20"/>
      <c r="N264" s="20"/>
      <c r="P264" s="55"/>
      <c r="Q264" s="55"/>
      <c r="R264" s="14"/>
      <c r="S264" s="14"/>
    </row>
    <row r="265" spans="2:254" ht="12.95" hidden="1" customHeight="1" x14ac:dyDescent="0.25">
      <c r="B265" s="16">
        <v>42501</v>
      </c>
      <c r="C265" s="62" t="s">
        <v>264</v>
      </c>
      <c r="D265" s="62"/>
      <c r="E265" s="56">
        <v>180700165</v>
      </c>
      <c r="F265" s="61"/>
      <c r="G265" s="49">
        <f t="shared" si="32"/>
        <v>180700165</v>
      </c>
      <c r="H265" s="61">
        <v>0</v>
      </c>
      <c r="I265" s="61">
        <v>0</v>
      </c>
      <c r="J265" s="61">
        <v>0</v>
      </c>
      <c r="K265" s="18">
        <f t="shared" si="33"/>
        <v>180700165</v>
      </c>
      <c r="L265" s="19">
        <f t="shared" si="34"/>
        <v>3491127191</v>
      </c>
      <c r="M265" s="20"/>
      <c r="N265" s="20"/>
      <c r="P265" s="55"/>
      <c r="Q265" s="55"/>
      <c r="R265" s="14"/>
      <c r="S265" s="14"/>
    </row>
    <row r="266" spans="2:254" ht="12.95" hidden="1" customHeight="1" x14ac:dyDescent="0.25">
      <c r="B266" s="16">
        <v>42501</v>
      </c>
      <c r="C266" s="62" t="s">
        <v>265</v>
      </c>
      <c r="D266" s="62"/>
      <c r="E266" s="56">
        <v>180700165</v>
      </c>
      <c r="F266" s="61"/>
      <c r="G266" s="49">
        <f t="shared" si="32"/>
        <v>180700165</v>
      </c>
      <c r="H266" s="61">
        <v>0</v>
      </c>
      <c r="I266" s="61">
        <v>0</v>
      </c>
      <c r="J266" s="61">
        <v>0</v>
      </c>
      <c r="K266" s="18">
        <f t="shared" si="33"/>
        <v>180700165</v>
      </c>
      <c r="L266" s="19">
        <f t="shared" si="34"/>
        <v>3310427026</v>
      </c>
      <c r="M266" s="20"/>
      <c r="N266" s="20"/>
      <c r="P266" s="55"/>
      <c r="Q266" s="55"/>
      <c r="R266" s="14"/>
      <c r="S266" s="14"/>
    </row>
    <row r="267" spans="2:254" ht="12.95" hidden="1" customHeight="1" x14ac:dyDescent="0.25">
      <c r="B267" s="16">
        <v>42593</v>
      </c>
      <c r="C267" s="62" t="s">
        <v>266</v>
      </c>
      <c r="D267" s="62"/>
      <c r="E267" s="56">
        <v>180700165</v>
      </c>
      <c r="F267" s="61"/>
      <c r="G267" s="49">
        <f t="shared" si="32"/>
        <v>180700165</v>
      </c>
      <c r="H267" s="61">
        <v>0</v>
      </c>
      <c r="I267" s="61">
        <v>0</v>
      </c>
      <c r="J267" s="61">
        <v>0</v>
      </c>
      <c r="K267" s="18">
        <f t="shared" si="33"/>
        <v>180700165</v>
      </c>
      <c r="L267" s="19">
        <f t="shared" si="34"/>
        <v>3129726861</v>
      </c>
      <c r="M267" s="20"/>
      <c r="N267" s="20"/>
      <c r="P267" s="55"/>
      <c r="Q267" s="55"/>
      <c r="R267" s="14"/>
      <c r="S267" s="14"/>
    </row>
    <row r="268" spans="2:254" ht="12.95" hidden="1" customHeight="1" x14ac:dyDescent="0.25">
      <c r="B268" s="16">
        <v>42593</v>
      </c>
      <c r="C268" s="62" t="s">
        <v>267</v>
      </c>
      <c r="D268" s="62"/>
      <c r="E268" s="56">
        <v>180700165</v>
      </c>
      <c r="F268" s="61"/>
      <c r="G268" s="49">
        <f t="shared" si="32"/>
        <v>180700165</v>
      </c>
      <c r="H268" s="61">
        <v>0</v>
      </c>
      <c r="I268" s="61">
        <v>0</v>
      </c>
      <c r="J268" s="61">
        <v>0</v>
      </c>
      <c r="K268" s="18">
        <f t="shared" si="33"/>
        <v>180700165</v>
      </c>
      <c r="L268" s="19">
        <f t="shared" si="34"/>
        <v>2949026696</v>
      </c>
      <c r="M268" s="20"/>
      <c r="N268" s="20"/>
      <c r="P268" s="55"/>
      <c r="Q268" s="55"/>
      <c r="R268" s="14"/>
      <c r="S268" s="14"/>
    </row>
    <row r="269" spans="2:254" ht="12.95" hidden="1" customHeight="1" x14ac:dyDescent="0.25">
      <c r="B269" s="16">
        <v>42642</v>
      </c>
      <c r="C269" s="62" t="s">
        <v>268</v>
      </c>
      <c r="D269" s="62"/>
      <c r="E269" s="56">
        <v>180700165</v>
      </c>
      <c r="F269" s="61"/>
      <c r="G269" s="49">
        <f t="shared" si="32"/>
        <v>180700165</v>
      </c>
      <c r="H269" s="61">
        <v>0</v>
      </c>
      <c r="I269" s="61">
        <v>0</v>
      </c>
      <c r="J269" s="61">
        <v>0</v>
      </c>
      <c r="K269" s="18">
        <f t="shared" si="33"/>
        <v>180700165</v>
      </c>
      <c r="L269" s="19">
        <f t="shared" si="34"/>
        <v>2768326531</v>
      </c>
      <c r="M269" s="20"/>
      <c r="N269" s="20"/>
      <c r="P269" s="55"/>
      <c r="Q269" s="55"/>
      <c r="R269" s="14"/>
      <c r="S269" s="14"/>
    </row>
    <row r="270" spans="2:254" ht="12.95" hidden="1" customHeight="1" x14ac:dyDescent="0.25">
      <c r="B270" s="16">
        <v>42642</v>
      </c>
      <c r="C270" s="62" t="s">
        <v>269</v>
      </c>
      <c r="D270" s="62"/>
      <c r="E270" s="56">
        <v>180700165</v>
      </c>
      <c r="F270" s="61"/>
      <c r="G270" s="49">
        <f t="shared" si="32"/>
        <v>180700165</v>
      </c>
      <c r="H270" s="61">
        <v>0</v>
      </c>
      <c r="I270" s="61">
        <v>0</v>
      </c>
      <c r="J270" s="61">
        <v>0</v>
      </c>
      <c r="K270" s="18">
        <f t="shared" si="33"/>
        <v>180700165</v>
      </c>
      <c r="L270" s="19">
        <f t="shared" si="34"/>
        <v>2587626366</v>
      </c>
      <c r="M270" s="20"/>
      <c r="N270" s="20"/>
      <c r="P270" s="55"/>
      <c r="Q270" s="55"/>
      <c r="R270" s="14"/>
      <c r="S270" s="14"/>
    </row>
    <row r="271" spans="2:254" ht="12.95" hidden="1" customHeight="1" x14ac:dyDescent="0.25">
      <c r="B271" s="16">
        <v>42642</v>
      </c>
      <c r="C271" s="62" t="s">
        <v>270</v>
      </c>
      <c r="D271" s="62"/>
      <c r="E271" s="56">
        <v>180700165</v>
      </c>
      <c r="F271" s="61"/>
      <c r="G271" s="49">
        <f t="shared" si="32"/>
        <v>180700165</v>
      </c>
      <c r="H271" s="61">
        <v>0</v>
      </c>
      <c r="I271" s="61">
        <v>0</v>
      </c>
      <c r="J271" s="61">
        <v>0</v>
      </c>
      <c r="K271" s="18">
        <f t="shared" si="33"/>
        <v>180700165</v>
      </c>
      <c r="L271" s="19">
        <f t="shared" si="34"/>
        <v>2406926201</v>
      </c>
      <c r="M271" s="20"/>
      <c r="N271" s="20"/>
      <c r="P271" s="55"/>
      <c r="Q271" s="55"/>
      <c r="R271" s="14"/>
      <c r="S271" s="14"/>
    </row>
    <row r="272" spans="2:254" ht="12.95" hidden="1" customHeight="1" x14ac:dyDescent="0.25">
      <c r="B272" s="16">
        <v>42704</v>
      </c>
      <c r="C272" s="62" t="s">
        <v>271</v>
      </c>
      <c r="D272" s="62"/>
      <c r="E272" s="56">
        <v>180700165</v>
      </c>
      <c r="F272" s="61"/>
      <c r="G272" s="49">
        <f t="shared" si="32"/>
        <v>180700165</v>
      </c>
      <c r="H272" s="61">
        <v>0</v>
      </c>
      <c r="I272" s="61">
        <v>0</v>
      </c>
      <c r="J272" s="61">
        <v>0</v>
      </c>
      <c r="K272" s="18">
        <f t="shared" si="33"/>
        <v>180700165</v>
      </c>
      <c r="L272" s="19">
        <f t="shared" si="34"/>
        <v>2226226036</v>
      </c>
      <c r="M272" s="20"/>
      <c r="N272" s="20"/>
      <c r="P272" s="55"/>
      <c r="Q272" s="55"/>
      <c r="R272" s="14"/>
      <c r="S272" s="14"/>
    </row>
    <row r="273" spans="2:19" ht="12.95" hidden="1" customHeight="1" x14ac:dyDescent="0.25">
      <c r="B273" s="16">
        <v>42704</v>
      </c>
      <c r="C273" s="62" t="s">
        <v>272</v>
      </c>
      <c r="D273" s="62"/>
      <c r="E273" s="56">
        <v>180700165</v>
      </c>
      <c r="F273" s="61"/>
      <c r="G273" s="49">
        <f t="shared" si="32"/>
        <v>180700165</v>
      </c>
      <c r="H273" s="61">
        <v>0</v>
      </c>
      <c r="I273" s="61">
        <v>0</v>
      </c>
      <c r="J273" s="61">
        <v>0</v>
      </c>
      <c r="K273" s="18">
        <f t="shared" si="33"/>
        <v>180700165</v>
      </c>
      <c r="L273" s="19">
        <f t="shared" si="34"/>
        <v>2045525871</v>
      </c>
      <c r="M273" s="20"/>
      <c r="N273" s="20"/>
      <c r="P273" s="55"/>
      <c r="Q273" s="55"/>
      <c r="R273" s="14"/>
      <c r="S273" s="14"/>
    </row>
    <row r="274" spans="2:19" ht="12.95" hidden="1" customHeight="1" x14ac:dyDescent="0.25">
      <c r="B274" s="16">
        <v>42733</v>
      </c>
      <c r="C274" s="62" t="s">
        <v>273</v>
      </c>
      <c r="D274" s="62"/>
      <c r="E274" s="56">
        <v>180700165</v>
      </c>
      <c r="F274" s="61"/>
      <c r="G274" s="49">
        <f t="shared" si="32"/>
        <v>180700165</v>
      </c>
      <c r="H274" s="61">
        <v>0</v>
      </c>
      <c r="I274" s="61">
        <v>0</v>
      </c>
      <c r="J274" s="61">
        <v>0</v>
      </c>
      <c r="K274" s="18">
        <f t="shared" si="33"/>
        <v>180700165</v>
      </c>
      <c r="L274" s="19">
        <f t="shared" si="34"/>
        <v>1864825706</v>
      </c>
      <c r="M274" s="20"/>
      <c r="N274" s="20"/>
      <c r="O274" s="63"/>
      <c r="P274" s="55"/>
      <c r="Q274" s="55"/>
      <c r="R274" s="14"/>
      <c r="S274" s="14"/>
    </row>
    <row r="275" spans="2:19" ht="12.95" hidden="1" customHeight="1" x14ac:dyDescent="0.25">
      <c r="B275" s="16">
        <v>42810</v>
      </c>
      <c r="C275" s="62" t="s">
        <v>274</v>
      </c>
      <c r="D275" s="62"/>
      <c r="E275" s="56">
        <v>180700165</v>
      </c>
      <c r="F275" s="61"/>
      <c r="G275" s="49">
        <f t="shared" si="32"/>
        <v>180700165</v>
      </c>
      <c r="H275" s="61">
        <v>0</v>
      </c>
      <c r="I275" s="61">
        <v>0</v>
      </c>
      <c r="J275" s="61">
        <v>0</v>
      </c>
      <c r="K275" s="18">
        <f t="shared" si="33"/>
        <v>180700165</v>
      </c>
      <c r="L275" s="19">
        <f t="shared" si="34"/>
        <v>1684125541</v>
      </c>
      <c r="M275" s="20"/>
      <c r="N275" s="20"/>
      <c r="O275" s="63"/>
      <c r="P275" s="55"/>
      <c r="Q275" s="55"/>
      <c r="R275" s="14"/>
      <c r="S275" s="14"/>
    </row>
    <row r="276" spans="2:19" ht="12.95" hidden="1" customHeight="1" x14ac:dyDescent="0.25">
      <c r="B276" s="16">
        <v>42810</v>
      </c>
      <c r="C276" s="62" t="s">
        <v>275</v>
      </c>
      <c r="D276" s="62"/>
      <c r="E276" s="56">
        <v>180700165</v>
      </c>
      <c r="F276" s="61"/>
      <c r="G276" s="49">
        <f t="shared" si="32"/>
        <v>180700165</v>
      </c>
      <c r="H276" s="61">
        <v>0</v>
      </c>
      <c r="I276" s="61">
        <v>0</v>
      </c>
      <c r="J276" s="61">
        <v>0</v>
      </c>
      <c r="K276" s="18">
        <f t="shared" si="33"/>
        <v>180700165</v>
      </c>
      <c r="L276" s="19">
        <f t="shared" si="34"/>
        <v>1503425376</v>
      </c>
      <c r="M276" s="20"/>
      <c r="N276" s="20"/>
      <c r="O276" s="63"/>
      <c r="P276" s="55"/>
      <c r="Q276" s="55"/>
      <c r="R276" s="14"/>
      <c r="S276" s="14"/>
    </row>
    <row r="277" spans="2:19" ht="12.95" hidden="1" customHeight="1" x14ac:dyDescent="0.25">
      <c r="B277" s="16">
        <v>42857</v>
      </c>
      <c r="C277" s="62" t="s">
        <v>276</v>
      </c>
      <c r="D277" s="62"/>
      <c r="E277" s="56">
        <v>187928172</v>
      </c>
      <c r="F277" s="61"/>
      <c r="G277" s="49">
        <f t="shared" si="32"/>
        <v>187928172</v>
      </c>
      <c r="H277" s="61">
        <v>0</v>
      </c>
      <c r="I277" s="61">
        <v>0</v>
      </c>
      <c r="J277" s="61">
        <v>0</v>
      </c>
      <c r="K277" s="18">
        <f t="shared" si="33"/>
        <v>187928172</v>
      </c>
      <c r="L277" s="19">
        <f t="shared" si="34"/>
        <v>1315497204</v>
      </c>
      <c r="M277" s="20"/>
      <c r="N277" s="20"/>
      <c r="O277" s="63"/>
      <c r="P277" s="55"/>
      <c r="Q277" s="55"/>
      <c r="R277" s="14"/>
      <c r="S277" s="14"/>
    </row>
    <row r="278" spans="2:19" ht="12.95" hidden="1" customHeight="1" x14ac:dyDescent="0.25">
      <c r="B278" s="16">
        <v>42857</v>
      </c>
      <c r="C278" s="62" t="s">
        <v>277</v>
      </c>
      <c r="D278" s="62"/>
      <c r="E278" s="56">
        <v>187928172</v>
      </c>
      <c r="F278" s="61"/>
      <c r="G278" s="49">
        <f t="shared" si="32"/>
        <v>187928172</v>
      </c>
      <c r="H278" s="61">
        <v>0</v>
      </c>
      <c r="I278" s="61">
        <v>0</v>
      </c>
      <c r="J278" s="61">
        <v>0</v>
      </c>
      <c r="K278" s="18">
        <f t="shared" si="33"/>
        <v>187928172</v>
      </c>
      <c r="L278" s="19">
        <f t="shared" si="34"/>
        <v>1127569032</v>
      </c>
      <c r="M278" s="20"/>
      <c r="N278" s="20"/>
      <c r="O278" s="63"/>
      <c r="P278" s="55"/>
      <c r="Q278" s="55"/>
      <c r="R278" s="14"/>
      <c r="S278" s="14"/>
    </row>
    <row r="279" spans="2:19" ht="12.95" hidden="1" customHeight="1" x14ac:dyDescent="0.25">
      <c r="B279" s="16">
        <v>42956</v>
      </c>
      <c r="C279" s="62" t="s">
        <v>278</v>
      </c>
      <c r="D279" s="62"/>
      <c r="E279" s="56">
        <v>187928172</v>
      </c>
      <c r="F279" s="61"/>
      <c r="G279" s="49">
        <f t="shared" si="32"/>
        <v>187928172</v>
      </c>
      <c r="H279" s="61">
        <v>0</v>
      </c>
      <c r="I279" s="61">
        <v>0</v>
      </c>
      <c r="J279" s="61">
        <v>0</v>
      </c>
      <c r="K279" s="18">
        <f t="shared" si="33"/>
        <v>187928172</v>
      </c>
      <c r="L279" s="19">
        <f t="shared" si="34"/>
        <v>939640860</v>
      </c>
      <c r="M279" s="20"/>
      <c r="N279" s="20"/>
      <c r="O279" s="63"/>
      <c r="P279" s="55"/>
      <c r="Q279" s="55"/>
      <c r="R279" s="14"/>
      <c r="S279" s="14"/>
    </row>
    <row r="280" spans="2:19" ht="12.95" hidden="1" customHeight="1" x14ac:dyDescent="0.25">
      <c r="B280" s="16">
        <v>42956</v>
      </c>
      <c r="C280" s="62" t="s">
        <v>279</v>
      </c>
      <c r="D280" s="62"/>
      <c r="E280" s="56">
        <v>187928172</v>
      </c>
      <c r="F280" s="61"/>
      <c r="G280" s="49">
        <f t="shared" si="32"/>
        <v>187928172</v>
      </c>
      <c r="H280" s="61">
        <v>0</v>
      </c>
      <c r="I280" s="61">
        <v>0</v>
      </c>
      <c r="J280" s="61">
        <v>0</v>
      </c>
      <c r="K280" s="18">
        <f t="shared" si="33"/>
        <v>187928172</v>
      </c>
      <c r="L280" s="19">
        <f t="shared" si="34"/>
        <v>751712688</v>
      </c>
      <c r="M280" s="20"/>
      <c r="N280" s="20"/>
      <c r="O280" s="63"/>
      <c r="P280" s="55"/>
      <c r="Q280" s="55"/>
      <c r="R280" s="14"/>
      <c r="S280" s="14"/>
    </row>
    <row r="281" spans="2:19" ht="12.95" hidden="1" customHeight="1" x14ac:dyDescent="0.25">
      <c r="B281" s="16">
        <v>43025</v>
      </c>
      <c r="C281" s="62" t="s">
        <v>280</v>
      </c>
      <c r="D281" s="62"/>
      <c r="E281" s="56">
        <v>187928172</v>
      </c>
      <c r="F281" s="61"/>
      <c r="G281" s="49">
        <f t="shared" si="32"/>
        <v>187928172</v>
      </c>
      <c r="H281" s="61">
        <v>0</v>
      </c>
      <c r="I281" s="61">
        <v>0</v>
      </c>
      <c r="J281" s="61">
        <v>0</v>
      </c>
      <c r="K281" s="18">
        <f t="shared" si="33"/>
        <v>187928172</v>
      </c>
      <c r="L281" s="19">
        <f t="shared" si="34"/>
        <v>563784516</v>
      </c>
      <c r="M281" s="20"/>
      <c r="N281" s="20"/>
      <c r="O281" s="63"/>
      <c r="P281" s="55"/>
      <c r="Q281" s="55"/>
      <c r="R281" s="14"/>
      <c r="S281" s="14"/>
    </row>
    <row r="282" spans="2:19" ht="12.95" hidden="1" customHeight="1" x14ac:dyDescent="0.25">
      <c r="B282" s="16">
        <v>43025</v>
      </c>
      <c r="C282" s="62" t="s">
        <v>281</v>
      </c>
      <c r="D282" s="62"/>
      <c r="E282" s="56">
        <v>187928172</v>
      </c>
      <c r="F282" s="61"/>
      <c r="G282" s="49">
        <f t="shared" si="32"/>
        <v>187928172</v>
      </c>
      <c r="H282" s="61">
        <v>0</v>
      </c>
      <c r="I282" s="61">
        <v>0</v>
      </c>
      <c r="J282" s="61">
        <v>0</v>
      </c>
      <c r="K282" s="18">
        <f t="shared" si="33"/>
        <v>187928172</v>
      </c>
      <c r="L282" s="19">
        <f t="shared" si="34"/>
        <v>375856344</v>
      </c>
      <c r="M282" s="20"/>
      <c r="N282" s="20"/>
      <c r="O282" s="63"/>
      <c r="P282" s="55"/>
      <c r="Q282" s="55"/>
      <c r="R282" s="14"/>
      <c r="S282" s="14"/>
    </row>
    <row r="283" spans="2:19" ht="12.75" hidden="1" customHeight="1" x14ac:dyDescent="0.25">
      <c r="B283" s="16">
        <v>43025</v>
      </c>
      <c r="C283" s="62" t="s">
        <v>282</v>
      </c>
      <c r="D283" s="62"/>
      <c r="E283" s="56">
        <v>187928172</v>
      </c>
      <c r="F283" s="61"/>
      <c r="G283" s="49">
        <f t="shared" si="32"/>
        <v>187928172</v>
      </c>
      <c r="H283" s="61">
        <v>0</v>
      </c>
      <c r="I283" s="61">
        <v>0</v>
      </c>
      <c r="J283" s="61">
        <v>0</v>
      </c>
      <c r="K283" s="18">
        <f t="shared" si="33"/>
        <v>187928172</v>
      </c>
      <c r="L283" s="19">
        <f t="shared" si="34"/>
        <v>187928172</v>
      </c>
      <c r="M283" s="20"/>
      <c r="N283" s="20"/>
      <c r="O283" s="63"/>
      <c r="P283" s="55"/>
      <c r="Q283" s="55"/>
      <c r="R283" s="14"/>
      <c r="S283" s="14"/>
    </row>
    <row r="284" spans="2:19" ht="12.75" hidden="1" customHeight="1" x14ac:dyDescent="0.25">
      <c r="B284" s="16">
        <v>43293.083333333336</v>
      </c>
      <c r="C284" s="62" t="s">
        <v>283</v>
      </c>
      <c r="D284" s="62"/>
      <c r="E284" s="56">
        <v>185306619</v>
      </c>
      <c r="F284" s="61"/>
      <c r="G284" s="49">
        <f>+E284</f>
        <v>185306619</v>
      </c>
      <c r="H284" s="61">
        <v>0</v>
      </c>
      <c r="I284" s="61">
        <v>0</v>
      </c>
      <c r="J284" s="61">
        <v>0</v>
      </c>
      <c r="K284" s="18">
        <f>+G284-H284-I284-J284</f>
        <v>185306619</v>
      </c>
      <c r="L284" s="19">
        <f>+L283-G284</f>
        <v>2621553</v>
      </c>
      <c r="M284" s="20"/>
      <c r="N284" s="20"/>
      <c r="O284" s="63"/>
      <c r="P284" s="55"/>
      <c r="Q284" s="55"/>
      <c r="R284" s="14"/>
      <c r="S284" s="14"/>
    </row>
    <row r="285" spans="2:19" ht="12.95" hidden="1" customHeight="1" x14ac:dyDescent="0.25">
      <c r="B285" s="9" t="s">
        <v>284</v>
      </c>
      <c r="C285" s="10"/>
      <c r="D285" s="11">
        <f>176901700.04+550128906.72+204475500+159036500</f>
        <v>1090542606.76</v>
      </c>
      <c r="E285" s="11">
        <f>+D285</f>
        <v>1090542606.76</v>
      </c>
      <c r="F285" s="11"/>
      <c r="G285" s="11"/>
      <c r="H285" s="11"/>
      <c r="I285" s="11"/>
      <c r="J285" s="11"/>
      <c r="K285" s="11"/>
      <c r="L285" s="11">
        <f>+D285</f>
        <v>1090542606.76</v>
      </c>
      <c r="M285" s="12"/>
      <c r="N285" s="12"/>
      <c r="P285" s="55"/>
      <c r="Q285" s="55"/>
      <c r="R285" s="14"/>
      <c r="S285" s="14"/>
    </row>
    <row r="286" spans="2:19" ht="12.95" hidden="1" customHeight="1" x14ac:dyDescent="0.25">
      <c r="B286" s="16">
        <v>42438</v>
      </c>
      <c r="C286" s="50" t="s">
        <v>285</v>
      </c>
      <c r="D286" s="62"/>
      <c r="E286" s="49">
        <v>45439000</v>
      </c>
      <c r="F286" s="18"/>
      <c r="G286" s="49">
        <f t="shared" ref="G286:G309" si="35">+E286</f>
        <v>45439000</v>
      </c>
      <c r="H286" s="61">
        <v>940117.2</v>
      </c>
      <c r="I286" s="61">
        <v>4308870.72</v>
      </c>
      <c r="J286" s="61">
        <v>270283.71000000002</v>
      </c>
      <c r="K286" s="18">
        <f t="shared" ref="K286:K309" si="36">+G286-H286-I286-J286</f>
        <v>39919728.369999997</v>
      </c>
      <c r="L286" s="19">
        <f>+L285-G286</f>
        <v>1045103606.76</v>
      </c>
      <c r="M286" s="20"/>
      <c r="N286" s="20"/>
      <c r="P286" s="55"/>
      <c r="Q286" s="55"/>
      <c r="R286" s="14"/>
      <c r="S286" s="14"/>
    </row>
    <row r="287" spans="2:19" ht="12.95" hidden="1" customHeight="1" x14ac:dyDescent="0.25">
      <c r="B287" s="16">
        <v>42438</v>
      </c>
      <c r="C287" s="50" t="s">
        <v>286</v>
      </c>
      <c r="D287" s="62"/>
      <c r="E287" s="61">
        <v>45439000</v>
      </c>
      <c r="F287" s="61"/>
      <c r="G287" s="49">
        <f t="shared" si="35"/>
        <v>45439000</v>
      </c>
      <c r="H287" s="61">
        <v>940117.2</v>
      </c>
      <c r="I287" s="61">
        <v>4308870.72</v>
      </c>
      <c r="J287" s="61">
        <v>270283.71000000002</v>
      </c>
      <c r="K287" s="18">
        <f t="shared" si="36"/>
        <v>39919728.369999997</v>
      </c>
      <c r="L287" s="19">
        <f>+L286-G287</f>
        <v>999664606.75999999</v>
      </c>
      <c r="M287" s="20"/>
      <c r="N287" s="20"/>
      <c r="P287" s="55"/>
      <c r="Q287" s="55"/>
      <c r="R287" s="14"/>
      <c r="S287" s="14"/>
    </row>
    <row r="288" spans="2:19" ht="12.95" hidden="1" customHeight="1" x14ac:dyDescent="0.25">
      <c r="B288" s="16">
        <v>42482</v>
      </c>
      <c r="C288" s="50" t="s">
        <v>287</v>
      </c>
      <c r="D288" s="62"/>
      <c r="E288" s="61">
        <v>45439000</v>
      </c>
      <c r="F288" s="61"/>
      <c r="G288" s="49">
        <f t="shared" si="35"/>
        <v>45439000</v>
      </c>
      <c r="H288" s="61">
        <v>940117.2</v>
      </c>
      <c r="I288" s="61">
        <v>4308870.72</v>
      </c>
      <c r="J288" s="61">
        <v>270283.71000000002</v>
      </c>
      <c r="K288" s="18">
        <f t="shared" si="36"/>
        <v>39919728.369999997</v>
      </c>
      <c r="L288" s="19">
        <f>+L287-G288</f>
        <v>954225606.75999999</v>
      </c>
      <c r="M288" s="20"/>
      <c r="N288" s="20"/>
      <c r="P288" s="55"/>
      <c r="Q288" s="55"/>
      <c r="R288" s="14"/>
      <c r="S288" s="14"/>
    </row>
    <row r="289" spans="2:19" ht="12.95" hidden="1" customHeight="1" x14ac:dyDescent="0.25">
      <c r="B289" s="16">
        <v>42488</v>
      </c>
      <c r="C289" s="50" t="s">
        <v>288</v>
      </c>
      <c r="D289" s="62"/>
      <c r="E289" s="61">
        <v>40584700.039999999</v>
      </c>
      <c r="F289" s="61"/>
      <c r="G289" s="49">
        <f t="shared" si="35"/>
        <v>40584700.039999999</v>
      </c>
      <c r="H289" s="61">
        <v>839683.45</v>
      </c>
      <c r="I289" s="61">
        <v>3848549.14</v>
      </c>
      <c r="J289" s="61">
        <v>241408.99</v>
      </c>
      <c r="K289" s="18">
        <f t="shared" si="36"/>
        <v>35655058.459999993</v>
      </c>
      <c r="L289" s="19">
        <f t="shared" ref="L289:L309" si="37">+L288-E289</f>
        <v>913640906.72000003</v>
      </c>
      <c r="M289" s="20"/>
      <c r="N289" s="20"/>
      <c r="P289" s="55"/>
      <c r="Q289" s="55"/>
      <c r="R289" s="14"/>
      <c r="S289" s="14"/>
    </row>
    <row r="290" spans="2:19" ht="12.95" hidden="1" customHeight="1" x14ac:dyDescent="0.25">
      <c r="B290" s="16">
        <v>42510</v>
      </c>
      <c r="C290" s="50" t="s">
        <v>289</v>
      </c>
      <c r="D290" s="62"/>
      <c r="E290" s="61">
        <v>45439000</v>
      </c>
      <c r="F290" s="61"/>
      <c r="G290" s="49">
        <f t="shared" si="35"/>
        <v>45439000</v>
      </c>
      <c r="H290" s="61">
        <v>940117.2</v>
      </c>
      <c r="I290" s="61">
        <v>4308870.72</v>
      </c>
      <c r="J290" s="61">
        <v>270283.71000000002</v>
      </c>
      <c r="K290" s="18">
        <f t="shared" si="36"/>
        <v>39919728.369999997</v>
      </c>
      <c r="L290" s="19">
        <f t="shared" si="37"/>
        <v>868201906.72000003</v>
      </c>
      <c r="M290" s="20"/>
      <c r="N290" s="20"/>
      <c r="P290" s="55"/>
      <c r="Q290" s="55"/>
      <c r="R290" s="14"/>
      <c r="S290" s="14"/>
    </row>
    <row r="291" spans="2:19" ht="12.95" hidden="1" customHeight="1" x14ac:dyDescent="0.25">
      <c r="B291" s="16">
        <v>42510</v>
      </c>
      <c r="C291" s="50" t="s">
        <v>290</v>
      </c>
      <c r="D291" s="62"/>
      <c r="E291" s="61">
        <v>50293299.960000001</v>
      </c>
      <c r="F291" s="61"/>
      <c r="G291" s="49">
        <f t="shared" si="35"/>
        <v>50293299.960000001</v>
      </c>
      <c r="H291" s="61">
        <v>1040551.03</v>
      </c>
      <c r="I291" s="61">
        <v>4769192.24</v>
      </c>
      <c r="J291" s="61">
        <v>299158.42</v>
      </c>
      <c r="K291" s="18">
        <f t="shared" si="36"/>
        <v>44184398.269999996</v>
      </c>
      <c r="L291" s="19">
        <f t="shared" si="37"/>
        <v>817908606.75999999</v>
      </c>
      <c r="M291" s="20"/>
      <c r="N291" s="20"/>
      <c r="P291" s="55"/>
      <c r="Q291" s="55"/>
      <c r="R291" s="14"/>
      <c r="S291" s="14"/>
    </row>
    <row r="292" spans="2:19" ht="12.95" hidden="1" customHeight="1" x14ac:dyDescent="0.25">
      <c r="B292" s="16">
        <v>42640</v>
      </c>
      <c r="C292" s="50" t="s">
        <v>291</v>
      </c>
      <c r="D292" s="62"/>
      <c r="E292" s="61">
        <v>45439000</v>
      </c>
      <c r="F292" s="61"/>
      <c r="G292" s="49">
        <f t="shared" si="35"/>
        <v>45439000</v>
      </c>
      <c r="H292" s="61">
        <v>940117.2</v>
      </c>
      <c r="I292" s="61">
        <v>4308870.72</v>
      </c>
      <c r="J292" s="61">
        <v>270283.71000000002</v>
      </c>
      <c r="K292" s="18">
        <f t="shared" si="36"/>
        <v>39919728.369999997</v>
      </c>
      <c r="L292" s="19">
        <f t="shared" si="37"/>
        <v>772469606.75999999</v>
      </c>
      <c r="M292" s="20"/>
      <c r="N292" s="20"/>
      <c r="P292" s="55"/>
      <c r="Q292" s="55"/>
      <c r="R292" s="14"/>
      <c r="S292" s="14"/>
    </row>
    <row r="293" spans="2:19" ht="12.95" hidden="1" customHeight="1" x14ac:dyDescent="0.25">
      <c r="B293" s="16">
        <v>42640</v>
      </c>
      <c r="C293" s="50" t="s">
        <v>292</v>
      </c>
      <c r="D293" s="62"/>
      <c r="E293" s="61">
        <v>45439000</v>
      </c>
      <c r="F293" s="61"/>
      <c r="G293" s="49">
        <f t="shared" si="35"/>
        <v>45439000</v>
      </c>
      <c r="H293" s="61">
        <v>940117.2</v>
      </c>
      <c r="I293" s="61">
        <v>4308870.72</v>
      </c>
      <c r="J293" s="61">
        <v>270283.71000000002</v>
      </c>
      <c r="K293" s="18">
        <f t="shared" si="36"/>
        <v>39919728.369999997</v>
      </c>
      <c r="L293" s="19">
        <f t="shared" si="37"/>
        <v>727030606.75999999</v>
      </c>
      <c r="M293" s="20"/>
      <c r="N293" s="20"/>
      <c r="P293" s="55"/>
      <c r="Q293" s="55"/>
      <c r="R293" s="14"/>
      <c r="S293" s="14"/>
    </row>
    <row r="294" spans="2:19" ht="12.95" hidden="1" customHeight="1" x14ac:dyDescent="0.25">
      <c r="B294" s="16">
        <v>42640</v>
      </c>
      <c r="C294" s="50" t="s">
        <v>293</v>
      </c>
      <c r="D294" s="62"/>
      <c r="E294" s="61">
        <v>45439000</v>
      </c>
      <c r="F294" s="61"/>
      <c r="G294" s="49">
        <f t="shared" si="35"/>
        <v>45439000</v>
      </c>
      <c r="H294" s="61">
        <v>940117.2</v>
      </c>
      <c r="I294" s="61">
        <v>4308870.72</v>
      </c>
      <c r="J294" s="61">
        <v>270283.71000000002</v>
      </c>
      <c r="K294" s="18">
        <f t="shared" si="36"/>
        <v>39919728.369999997</v>
      </c>
      <c r="L294" s="19">
        <f t="shared" si="37"/>
        <v>681591606.75999999</v>
      </c>
      <c r="M294" s="20"/>
      <c r="N294" s="20"/>
      <c r="P294" s="55"/>
      <c r="Q294" s="55"/>
      <c r="R294" s="14"/>
      <c r="S294" s="14"/>
    </row>
    <row r="295" spans="2:19" ht="12.95" hidden="1" customHeight="1" x14ac:dyDescent="0.25">
      <c r="B295" s="16">
        <v>42640</v>
      </c>
      <c r="C295" s="50" t="s">
        <v>294</v>
      </c>
      <c r="D295" s="62"/>
      <c r="E295" s="61">
        <v>45439000</v>
      </c>
      <c r="F295" s="61"/>
      <c r="G295" s="49">
        <f t="shared" si="35"/>
        <v>45439000</v>
      </c>
      <c r="H295" s="61">
        <v>940117.2</v>
      </c>
      <c r="I295" s="61">
        <v>4308870.72</v>
      </c>
      <c r="J295" s="61">
        <v>270283.71000000002</v>
      </c>
      <c r="K295" s="18">
        <f t="shared" si="36"/>
        <v>39919728.369999997</v>
      </c>
      <c r="L295" s="19">
        <f t="shared" si="37"/>
        <v>636152606.75999999</v>
      </c>
      <c r="M295" s="20"/>
      <c r="N295" s="20"/>
      <c r="P295" s="55"/>
      <c r="Q295" s="55"/>
      <c r="R295" s="14"/>
      <c r="S295" s="14"/>
    </row>
    <row r="296" spans="2:19" ht="12.95" hidden="1" customHeight="1" x14ac:dyDescent="0.25">
      <c r="B296" s="16">
        <v>42640</v>
      </c>
      <c r="C296" s="50" t="s">
        <v>295</v>
      </c>
      <c r="D296" s="62"/>
      <c r="E296" s="61">
        <v>45439000</v>
      </c>
      <c r="F296" s="61"/>
      <c r="G296" s="49">
        <f t="shared" si="35"/>
        <v>45439000</v>
      </c>
      <c r="H296" s="61">
        <v>940117.2</v>
      </c>
      <c r="I296" s="61">
        <v>4308870.72</v>
      </c>
      <c r="J296" s="61">
        <v>270283.71000000002</v>
      </c>
      <c r="K296" s="18">
        <f t="shared" si="36"/>
        <v>39919728.369999997</v>
      </c>
      <c r="L296" s="19">
        <f t="shared" si="37"/>
        <v>590713606.75999999</v>
      </c>
      <c r="M296" s="20"/>
      <c r="N296" s="20"/>
      <c r="P296" s="55"/>
      <c r="Q296" s="55"/>
      <c r="R296" s="14"/>
      <c r="S296" s="14"/>
    </row>
    <row r="297" spans="2:19" ht="12.95" hidden="1" customHeight="1" x14ac:dyDescent="0.25">
      <c r="B297" s="16">
        <v>42703</v>
      </c>
      <c r="C297" s="50" t="s">
        <v>296</v>
      </c>
      <c r="D297" s="62"/>
      <c r="E297" s="61">
        <v>45439000</v>
      </c>
      <c r="F297" s="61"/>
      <c r="G297" s="49">
        <f t="shared" si="35"/>
        <v>45439000</v>
      </c>
      <c r="H297" s="61">
        <v>940117.2</v>
      </c>
      <c r="I297" s="61">
        <v>4308870.72</v>
      </c>
      <c r="J297" s="61">
        <v>270283.71000000002</v>
      </c>
      <c r="K297" s="18">
        <f t="shared" si="36"/>
        <v>39919728.369999997</v>
      </c>
      <c r="L297" s="19">
        <f t="shared" si="37"/>
        <v>545274606.75999999</v>
      </c>
      <c r="M297" s="20"/>
      <c r="N297" s="20"/>
      <c r="P297" s="55"/>
      <c r="Q297" s="55"/>
      <c r="R297" s="14"/>
      <c r="S297" s="14"/>
    </row>
    <row r="298" spans="2:19" ht="12.95" hidden="1" customHeight="1" x14ac:dyDescent="0.25">
      <c r="B298" s="16">
        <v>42703</v>
      </c>
      <c r="C298" s="50" t="s">
        <v>297</v>
      </c>
      <c r="D298" s="62"/>
      <c r="E298" s="61">
        <v>45439000</v>
      </c>
      <c r="F298" s="61"/>
      <c r="G298" s="49">
        <f t="shared" si="35"/>
        <v>45439000</v>
      </c>
      <c r="H298" s="61">
        <v>940117.2</v>
      </c>
      <c r="I298" s="61">
        <v>4308870.72</v>
      </c>
      <c r="J298" s="61">
        <v>270283.71000000002</v>
      </c>
      <c r="K298" s="18">
        <f t="shared" si="36"/>
        <v>39919728.369999997</v>
      </c>
      <c r="L298" s="19">
        <f t="shared" si="37"/>
        <v>499835606.75999999</v>
      </c>
      <c r="M298" s="20"/>
      <c r="N298" s="20"/>
      <c r="P298" s="55"/>
      <c r="Q298" s="55"/>
      <c r="R298" s="14"/>
      <c r="S298" s="14"/>
    </row>
    <row r="299" spans="2:19" ht="12.95" hidden="1" customHeight="1" x14ac:dyDescent="0.25">
      <c r="B299" s="16">
        <v>42732</v>
      </c>
      <c r="C299" s="50" t="s">
        <v>298</v>
      </c>
      <c r="D299" s="62"/>
      <c r="E299" s="61">
        <v>45439000</v>
      </c>
      <c r="F299" s="61"/>
      <c r="G299" s="49">
        <f t="shared" si="35"/>
        <v>45439000</v>
      </c>
      <c r="H299" s="61">
        <v>940117.2</v>
      </c>
      <c r="I299" s="61">
        <v>4308870.72</v>
      </c>
      <c r="J299" s="61">
        <v>270283.71000000002</v>
      </c>
      <c r="K299" s="18">
        <f t="shared" si="36"/>
        <v>39919728.369999997</v>
      </c>
      <c r="L299" s="19">
        <f t="shared" si="37"/>
        <v>454396606.75999999</v>
      </c>
      <c r="M299" s="20"/>
      <c r="N299" s="20"/>
      <c r="P299" s="55"/>
      <c r="Q299" s="55"/>
      <c r="R299" s="14"/>
      <c r="S299" s="14"/>
    </row>
    <row r="300" spans="2:19" ht="12.95" hidden="1" customHeight="1" x14ac:dyDescent="0.25">
      <c r="B300" s="16">
        <v>42822</v>
      </c>
      <c r="C300" s="50" t="s">
        <v>299</v>
      </c>
      <c r="D300" s="62"/>
      <c r="E300" s="61">
        <v>45439000</v>
      </c>
      <c r="F300" s="61"/>
      <c r="G300" s="49">
        <f t="shared" si="35"/>
        <v>45439000</v>
      </c>
      <c r="H300" s="61">
        <v>940117.2</v>
      </c>
      <c r="I300" s="61">
        <v>4308870.72</v>
      </c>
      <c r="J300" s="61">
        <v>270283.71000000002</v>
      </c>
      <c r="K300" s="18">
        <f t="shared" si="36"/>
        <v>39919728.369999997</v>
      </c>
      <c r="L300" s="19">
        <f t="shared" si="37"/>
        <v>408957606.75999999</v>
      </c>
      <c r="M300" s="20"/>
      <c r="N300" s="20"/>
      <c r="P300" s="55"/>
      <c r="Q300" s="55"/>
      <c r="R300" s="14"/>
      <c r="S300" s="14"/>
    </row>
    <row r="301" spans="2:19" ht="12.95" hidden="1" customHeight="1" x14ac:dyDescent="0.25">
      <c r="B301" s="16">
        <v>42822</v>
      </c>
      <c r="C301" s="50" t="s">
        <v>300</v>
      </c>
      <c r="D301" s="62"/>
      <c r="E301" s="61">
        <v>45439000</v>
      </c>
      <c r="F301" s="61"/>
      <c r="G301" s="49">
        <f t="shared" si="35"/>
        <v>45439000</v>
      </c>
      <c r="H301" s="61">
        <v>940117.2</v>
      </c>
      <c r="I301" s="61">
        <v>4308870.72</v>
      </c>
      <c r="J301" s="61">
        <v>270283.71000000002</v>
      </c>
      <c r="K301" s="18">
        <f t="shared" si="36"/>
        <v>39919728.369999997</v>
      </c>
      <c r="L301" s="19">
        <f t="shared" si="37"/>
        <v>363518606.75999999</v>
      </c>
      <c r="M301" s="20"/>
      <c r="N301" s="20"/>
      <c r="O301" s="60"/>
      <c r="P301" s="55"/>
      <c r="Q301" s="55"/>
      <c r="R301" s="14"/>
      <c r="S301" s="14"/>
    </row>
    <row r="302" spans="2:19" ht="12.95" hidden="1" customHeight="1" x14ac:dyDescent="0.25">
      <c r="B302" s="16">
        <v>42858</v>
      </c>
      <c r="C302" s="50" t="s">
        <v>301</v>
      </c>
      <c r="D302" s="62"/>
      <c r="E302" s="61">
        <v>45439000</v>
      </c>
      <c r="F302" s="61"/>
      <c r="G302" s="49">
        <f t="shared" si="35"/>
        <v>45439000</v>
      </c>
      <c r="H302" s="61"/>
      <c r="I302" s="61">
        <v>4308870.72</v>
      </c>
      <c r="J302" s="61">
        <v>270283.71000000002</v>
      </c>
      <c r="K302" s="18">
        <f t="shared" si="36"/>
        <v>40859845.57</v>
      </c>
      <c r="L302" s="19">
        <f t="shared" si="37"/>
        <v>318079606.75999999</v>
      </c>
      <c r="M302" s="20"/>
      <c r="N302" s="20"/>
      <c r="O302" s="60"/>
      <c r="P302" s="55"/>
      <c r="Q302" s="55"/>
      <c r="R302" s="14"/>
      <c r="S302" s="14"/>
    </row>
    <row r="303" spans="2:19" ht="12.95" hidden="1" customHeight="1" x14ac:dyDescent="0.25">
      <c r="B303" s="16">
        <v>42859</v>
      </c>
      <c r="C303" s="50" t="s">
        <v>302</v>
      </c>
      <c r="D303" s="62"/>
      <c r="E303" s="61">
        <v>45439000</v>
      </c>
      <c r="F303" s="61"/>
      <c r="G303" s="49">
        <f t="shared" si="35"/>
        <v>45439000</v>
      </c>
      <c r="H303" s="61"/>
      <c r="I303" s="61">
        <v>4308870.72</v>
      </c>
      <c r="J303" s="61">
        <v>270283.71000000002</v>
      </c>
      <c r="K303" s="18">
        <f t="shared" si="36"/>
        <v>40859845.57</v>
      </c>
      <c r="L303" s="19">
        <f t="shared" si="37"/>
        <v>272640606.75999999</v>
      </c>
      <c r="M303" s="20"/>
      <c r="N303" s="20"/>
      <c r="O303" s="60"/>
      <c r="P303" s="55"/>
      <c r="Q303" s="55"/>
      <c r="R303" s="14"/>
      <c r="S303" s="14"/>
    </row>
    <row r="304" spans="2:19" ht="12.95" hidden="1" customHeight="1" x14ac:dyDescent="0.25">
      <c r="B304" s="16">
        <v>42958</v>
      </c>
      <c r="C304" s="50" t="s">
        <v>303</v>
      </c>
      <c r="D304" s="62"/>
      <c r="E304" s="61">
        <v>45439000</v>
      </c>
      <c r="F304" s="61"/>
      <c r="G304" s="49">
        <f t="shared" si="35"/>
        <v>45439000</v>
      </c>
      <c r="H304" s="64"/>
      <c r="I304" s="64">
        <v>4308870.72</v>
      </c>
      <c r="J304" s="64">
        <v>270283.71000000002</v>
      </c>
      <c r="K304" s="18">
        <f t="shared" si="36"/>
        <v>40859845.57</v>
      </c>
      <c r="L304" s="19">
        <f t="shared" si="37"/>
        <v>227201606.75999999</v>
      </c>
      <c r="M304" s="20"/>
      <c r="N304" s="20"/>
      <c r="O304" s="60"/>
      <c r="P304" s="55"/>
      <c r="Q304" s="55"/>
      <c r="R304" s="14"/>
      <c r="S304" s="14"/>
    </row>
    <row r="305" spans="2:19" ht="12.95" hidden="1" customHeight="1" x14ac:dyDescent="0.25">
      <c r="B305" s="16">
        <v>42958</v>
      </c>
      <c r="C305" s="50" t="s">
        <v>304</v>
      </c>
      <c r="D305" s="62"/>
      <c r="E305" s="61">
        <v>45439000</v>
      </c>
      <c r="F305" s="61"/>
      <c r="G305" s="49">
        <f t="shared" si="35"/>
        <v>45439000</v>
      </c>
      <c r="H305" s="64"/>
      <c r="I305" s="64">
        <v>4308870.72</v>
      </c>
      <c r="J305" s="64">
        <v>270283.71000000002</v>
      </c>
      <c r="K305" s="18">
        <f t="shared" si="36"/>
        <v>40859845.57</v>
      </c>
      <c r="L305" s="65">
        <f t="shared" si="37"/>
        <v>181762606.75999999</v>
      </c>
      <c r="M305" s="20"/>
      <c r="N305" s="20"/>
      <c r="O305" s="60"/>
      <c r="P305" s="55"/>
      <c r="Q305" s="55"/>
      <c r="R305" s="14"/>
      <c r="S305" s="14"/>
    </row>
    <row r="306" spans="2:19" ht="12.95" hidden="1" customHeight="1" x14ac:dyDescent="0.25">
      <c r="B306" s="16">
        <v>43021</v>
      </c>
      <c r="C306" s="50" t="s">
        <v>305</v>
      </c>
      <c r="D306" s="62"/>
      <c r="E306" s="61">
        <v>22719500</v>
      </c>
      <c r="F306" s="61"/>
      <c r="G306" s="49">
        <f t="shared" si="35"/>
        <v>22719500</v>
      </c>
      <c r="H306" s="64">
        <v>0</v>
      </c>
      <c r="I306" s="64">
        <v>4200243.74</v>
      </c>
      <c r="J306" s="64">
        <v>263469.83</v>
      </c>
      <c r="K306" s="18">
        <f t="shared" si="36"/>
        <v>18255786.43</v>
      </c>
      <c r="L306" s="19">
        <f t="shared" si="37"/>
        <v>159043106.75999999</v>
      </c>
      <c r="M306" s="20"/>
      <c r="N306" s="20"/>
      <c r="O306" s="60"/>
      <c r="P306" s="55"/>
      <c r="Q306" s="55"/>
      <c r="R306" s="14"/>
      <c r="S306" s="14"/>
    </row>
    <row r="307" spans="2:19" ht="12.95" hidden="1" customHeight="1" x14ac:dyDescent="0.25">
      <c r="B307" s="16">
        <v>43021</v>
      </c>
      <c r="C307" s="50" t="s">
        <v>306</v>
      </c>
      <c r="D307" s="62"/>
      <c r="E307" s="61">
        <v>22719500</v>
      </c>
      <c r="F307" s="61"/>
      <c r="G307" s="49">
        <f t="shared" si="35"/>
        <v>22719500</v>
      </c>
      <c r="H307" s="64">
        <v>0</v>
      </c>
      <c r="I307" s="64">
        <v>2100121.87</v>
      </c>
      <c r="J307" s="64">
        <v>131734.92000000001</v>
      </c>
      <c r="K307" s="18">
        <f t="shared" si="36"/>
        <v>20487643.209999997</v>
      </c>
      <c r="L307" s="19">
        <f t="shared" si="37"/>
        <v>136323606.75999999</v>
      </c>
      <c r="M307" s="20"/>
      <c r="N307" s="20"/>
      <c r="O307" s="60"/>
      <c r="P307" s="55"/>
      <c r="Q307" s="55"/>
      <c r="R307" s="14"/>
      <c r="S307" s="14"/>
    </row>
    <row r="308" spans="2:19" ht="12.95" hidden="1" customHeight="1" x14ac:dyDescent="0.25">
      <c r="B308" s="16">
        <v>43021</v>
      </c>
      <c r="C308" s="50" t="s">
        <v>307</v>
      </c>
      <c r="D308" s="62"/>
      <c r="E308" s="61">
        <v>45439000</v>
      </c>
      <c r="F308" s="61"/>
      <c r="G308" s="49">
        <f t="shared" si="35"/>
        <v>45439000</v>
      </c>
      <c r="H308" s="64">
        <v>0</v>
      </c>
      <c r="I308" s="64">
        <v>2154435.36</v>
      </c>
      <c r="J308" s="64">
        <v>135141.85</v>
      </c>
      <c r="K308" s="18">
        <f t="shared" si="36"/>
        <v>43149422.789999999</v>
      </c>
      <c r="L308" s="19">
        <f t="shared" si="37"/>
        <v>90884606.75999999</v>
      </c>
      <c r="M308" s="20"/>
      <c r="N308" s="20"/>
      <c r="O308" s="60"/>
      <c r="P308" s="55"/>
      <c r="Q308" s="55"/>
      <c r="R308" s="14"/>
      <c r="S308" s="14"/>
    </row>
    <row r="309" spans="2:19" ht="12.95" hidden="1" customHeight="1" x14ac:dyDescent="0.25">
      <c r="B309" s="16">
        <v>43021</v>
      </c>
      <c r="C309" s="50" t="s">
        <v>308</v>
      </c>
      <c r="D309" s="62"/>
      <c r="E309" s="61">
        <v>45439000</v>
      </c>
      <c r="F309" s="61"/>
      <c r="G309" s="49">
        <f t="shared" si="35"/>
        <v>45439000</v>
      </c>
      <c r="H309" s="64">
        <v>0</v>
      </c>
      <c r="I309" s="64">
        <v>4200243.74</v>
      </c>
      <c r="J309" s="64">
        <v>263469.83</v>
      </c>
      <c r="K309" s="18">
        <f t="shared" si="36"/>
        <v>40975286.43</v>
      </c>
      <c r="L309" s="19">
        <f t="shared" si="37"/>
        <v>45445606.75999999</v>
      </c>
      <c r="M309" s="20"/>
      <c r="N309" s="20"/>
      <c r="O309" s="60"/>
      <c r="P309" s="55"/>
      <c r="Q309" s="55"/>
      <c r="R309" s="14"/>
      <c r="S309" s="14"/>
    </row>
    <row r="310" spans="2:19" ht="12.95" hidden="1" customHeight="1" x14ac:dyDescent="0.25">
      <c r="B310" s="16">
        <v>43294.083333333336</v>
      </c>
      <c r="C310" s="50" t="s">
        <v>309</v>
      </c>
      <c r="D310" s="62"/>
      <c r="E310" s="61">
        <v>45439000</v>
      </c>
      <c r="F310" s="61"/>
      <c r="G310" s="49">
        <f>+E310</f>
        <v>45439000</v>
      </c>
      <c r="H310" s="64">
        <v>0</v>
      </c>
      <c r="I310" s="64">
        <v>4200243.74</v>
      </c>
      <c r="J310" s="64">
        <v>263469.83</v>
      </c>
      <c r="K310" s="18">
        <f>+G310-H310-I310-J310</f>
        <v>40975286.43</v>
      </c>
      <c r="L310" s="19">
        <f>+L309-E310</f>
        <v>6606.7599999904633</v>
      </c>
      <c r="M310" s="20"/>
      <c r="N310" s="20"/>
      <c r="O310" s="60"/>
      <c r="P310" s="55"/>
      <c r="Q310" s="55"/>
      <c r="R310" s="14"/>
      <c r="S310" s="14"/>
    </row>
    <row r="311" spans="2:19" ht="12.95" hidden="1" customHeight="1" x14ac:dyDescent="0.25">
      <c r="B311" s="9" t="s">
        <v>310</v>
      </c>
      <c r="C311" s="10"/>
      <c r="D311" s="10">
        <v>65714000</v>
      </c>
      <c r="E311" s="11">
        <f>+D311</f>
        <v>65714000</v>
      </c>
      <c r="F311" s="11"/>
      <c r="G311" s="11"/>
      <c r="H311" s="11"/>
      <c r="I311" s="11"/>
      <c r="J311" s="11"/>
      <c r="K311" s="11"/>
      <c r="L311" s="11">
        <f>+D311</f>
        <v>65714000</v>
      </c>
      <c r="M311" s="12"/>
      <c r="N311" s="12"/>
      <c r="P311" s="55"/>
      <c r="Q311" s="55"/>
      <c r="R311" s="14"/>
      <c r="S311" s="14"/>
    </row>
    <row r="312" spans="2:19" ht="12.95" hidden="1" customHeight="1" x14ac:dyDescent="0.25">
      <c r="B312" s="16">
        <v>42440</v>
      </c>
      <c r="C312" s="36" t="s">
        <v>311</v>
      </c>
      <c r="D312" s="34"/>
      <c r="E312" s="34">
        <v>5974000</v>
      </c>
      <c r="F312" s="18"/>
      <c r="G312" s="49">
        <f t="shared" ref="G312:G323" si="38">+E312</f>
        <v>5974000</v>
      </c>
      <c r="H312" s="18">
        <v>0</v>
      </c>
      <c r="I312" s="24">
        <v>302444.01</v>
      </c>
      <c r="J312" s="24">
        <v>57708.84</v>
      </c>
      <c r="K312" s="18">
        <f t="shared" ref="K312:K323" si="39">+G312-I312-J312</f>
        <v>5613847.1500000004</v>
      </c>
      <c r="L312" s="19">
        <f t="shared" ref="L312:L323" si="40">+L311-G312</f>
        <v>59740000</v>
      </c>
      <c r="M312" s="20"/>
      <c r="N312" s="20"/>
      <c r="P312" s="55"/>
      <c r="Q312" s="55"/>
      <c r="R312" s="14"/>
      <c r="S312" s="14"/>
    </row>
    <row r="313" spans="2:19" ht="12.95" hidden="1" customHeight="1" x14ac:dyDescent="0.25">
      <c r="B313" s="16">
        <v>42472</v>
      </c>
      <c r="C313" s="36" t="s">
        <v>312</v>
      </c>
      <c r="D313" s="34"/>
      <c r="E313" s="34">
        <v>5974000</v>
      </c>
      <c r="F313" s="18"/>
      <c r="G313" s="49">
        <f t="shared" si="38"/>
        <v>5974000</v>
      </c>
      <c r="H313" s="18">
        <v>0</v>
      </c>
      <c r="I313" s="24">
        <v>302444.01</v>
      </c>
      <c r="J313" s="24">
        <v>57708.84</v>
      </c>
      <c r="K313" s="18">
        <f t="shared" si="39"/>
        <v>5613847.1500000004</v>
      </c>
      <c r="L313" s="19">
        <f t="shared" si="40"/>
        <v>53766000</v>
      </c>
      <c r="M313" s="20"/>
      <c r="N313" s="20"/>
      <c r="P313" s="55"/>
      <c r="Q313" s="55"/>
      <c r="R313" s="14"/>
      <c r="S313" s="14"/>
    </row>
    <row r="314" spans="2:19" ht="12.95" hidden="1" customHeight="1" x14ac:dyDescent="0.25">
      <c r="B314" s="16">
        <v>42503</v>
      </c>
      <c r="C314" s="36" t="s">
        <v>313</v>
      </c>
      <c r="D314" s="34"/>
      <c r="E314" s="34">
        <v>5974000</v>
      </c>
      <c r="F314" s="18"/>
      <c r="G314" s="49">
        <f t="shared" si="38"/>
        <v>5974000</v>
      </c>
      <c r="H314" s="18">
        <v>0</v>
      </c>
      <c r="I314" s="24">
        <v>302444.01</v>
      </c>
      <c r="J314" s="24">
        <v>57708.84</v>
      </c>
      <c r="K314" s="18">
        <f t="shared" si="39"/>
        <v>5613847.1500000004</v>
      </c>
      <c r="L314" s="19">
        <f t="shared" si="40"/>
        <v>47792000</v>
      </c>
      <c r="M314" s="20"/>
      <c r="N314" s="20"/>
      <c r="P314" s="55"/>
      <c r="Q314" s="55"/>
      <c r="R314" s="14"/>
      <c r="S314" s="14"/>
    </row>
    <row r="315" spans="2:19" ht="12.95" hidden="1" customHeight="1" x14ac:dyDescent="0.25">
      <c r="B315" s="16">
        <v>42544</v>
      </c>
      <c r="C315" s="50" t="s">
        <v>314</v>
      </c>
      <c r="D315" s="34"/>
      <c r="E315" s="34">
        <v>5974000</v>
      </c>
      <c r="F315" s="18"/>
      <c r="G315" s="49">
        <f t="shared" si="38"/>
        <v>5974000</v>
      </c>
      <c r="H315" s="18">
        <v>0</v>
      </c>
      <c r="I315" s="24">
        <v>302444.01</v>
      </c>
      <c r="J315" s="24">
        <v>57708.84</v>
      </c>
      <c r="K315" s="18">
        <f t="shared" si="39"/>
        <v>5613847.1500000004</v>
      </c>
      <c r="L315" s="19">
        <f t="shared" si="40"/>
        <v>41818000</v>
      </c>
      <c r="M315" s="20"/>
      <c r="N315" s="20"/>
      <c r="P315" s="55"/>
      <c r="Q315" s="55"/>
      <c r="R315" s="14"/>
      <c r="S315" s="14"/>
    </row>
    <row r="316" spans="2:19" ht="12.95" hidden="1" customHeight="1" x14ac:dyDescent="0.25">
      <c r="B316" s="16">
        <v>42564</v>
      </c>
      <c r="C316" s="50" t="s">
        <v>315</v>
      </c>
      <c r="D316" s="34"/>
      <c r="E316" s="34">
        <v>5974000</v>
      </c>
      <c r="F316" s="18"/>
      <c r="G316" s="49">
        <f t="shared" si="38"/>
        <v>5974000</v>
      </c>
      <c r="H316" s="18">
        <v>0</v>
      </c>
      <c r="I316" s="24">
        <v>302444.01</v>
      </c>
      <c r="J316" s="24">
        <v>57708.84</v>
      </c>
      <c r="K316" s="18">
        <f t="shared" si="39"/>
        <v>5613847.1500000004</v>
      </c>
      <c r="L316" s="19">
        <f t="shared" si="40"/>
        <v>35844000</v>
      </c>
      <c r="M316" s="20"/>
      <c r="N316" s="20"/>
      <c r="P316" s="55"/>
      <c r="Q316" s="55"/>
      <c r="R316" s="14"/>
      <c r="S316" s="14"/>
    </row>
    <row r="317" spans="2:19" ht="12.95" hidden="1" customHeight="1" x14ac:dyDescent="0.25">
      <c r="B317" s="16">
        <v>42594</v>
      </c>
      <c r="C317" s="50" t="s">
        <v>316</v>
      </c>
      <c r="D317" s="34"/>
      <c r="E317" s="34">
        <v>5974000</v>
      </c>
      <c r="F317" s="18"/>
      <c r="G317" s="49">
        <f t="shared" si="38"/>
        <v>5974000</v>
      </c>
      <c r="H317" s="18">
        <v>0</v>
      </c>
      <c r="I317" s="24">
        <v>302444.01</v>
      </c>
      <c r="J317" s="24">
        <v>57708.84</v>
      </c>
      <c r="K317" s="18">
        <f t="shared" si="39"/>
        <v>5613847.1500000004</v>
      </c>
      <c r="L317" s="19">
        <f t="shared" si="40"/>
        <v>29870000</v>
      </c>
      <c r="M317" s="20"/>
      <c r="N317" s="20"/>
      <c r="P317" s="55"/>
      <c r="Q317" s="55"/>
      <c r="R317" s="14"/>
      <c r="S317" s="14"/>
    </row>
    <row r="318" spans="2:19" ht="12.95" hidden="1" customHeight="1" x14ac:dyDescent="0.25">
      <c r="B318" s="16">
        <v>42628</v>
      </c>
      <c r="C318" s="50" t="s">
        <v>317</v>
      </c>
      <c r="D318" s="34"/>
      <c r="E318" s="34">
        <v>5974000</v>
      </c>
      <c r="F318" s="18"/>
      <c r="G318" s="49">
        <f t="shared" si="38"/>
        <v>5974000</v>
      </c>
      <c r="H318" s="18">
        <v>0</v>
      </c>
      <c r="I318" s="24">
        <v>302444.01</v>
      </c>
      <c r="J318" s="24">
        <v>57708.84</v>
      </c>
      <c r="K318" s="18">
        <f t="shared" si="39"/>
        <v>5613847.1500000004</v>
      </c>
      <c r="L318" s="19">
        <f t="shared" si="40"/>
        <v>23896000</v>
      </c>
      <c r="M318" s="20"/>
      <c r="N318" s="20"/>
      <c r="P318" s="55"/>
      <c r="Q318" s="55"/>
      <c r="R318" s="14"/>
      <c r="S318" s="14"/>
    </row>
    <row r="319" spans="2:19" ht="12.95" hidden="1" customHeight="1" x14ac:dyDescent="0.25">
      <c r="B319" s="16">
        <v>42663</v>
      </c>
      <c r="C319" s="50" t="s">
        <v>318</v>
      </c>
      <c r="D319" s="34"/>
      <c r="E319" s="34">
        <v>5974000</v>
      </c>
      <c r="F319" s="18"/>
      <c r="G319" s="49">
        <f t="shared" si="38"/>
        <v>5974000</v>
      </c>
      <c r="H319" s="18">
        <v>0</v>
      </c>
      <c r="I319" s="24">
        <v>302444.01</v>
      </c>
      <c r="J319" s="24">
        <v>57708.84</v>
      </c>
      <c r="K319" s="18">
        <f t="shared" si="39"/>
        <v>5613847.1500000004</v>
      </c>
      <c r="L319" s="19">
        <f t="shared" si="40"/>
        <v>17922000</v>
      </c>
      <c r="M319" s="20"/>
      <c r="N319" s="20"/>
      <c r="P319" s="55"/>
      <c r="Q319" s="55"/>
      <c r="R319" s="14"/>
      <c r="S319" s="14"/>
    </row>
    <row r="320" spans="2:19" ht="12.95" hidden="1" customHeight="1" x14ac:dyDescent="0.25">
      <c r="B320" s="16">
        <v>42691</v>
      </c>
      <c r="C320" s="50" t="s">
        <v>319</v>
      </c>
      <c r="D320" s="34"/>
      <c r="E320" s="49">
        <v>5974000</v>
      </c>
      <c r="F320" s="18"/>
      <c r="G320" s="49">
        <f t="shared" si="38"/>
        <v>5974000</v>
      </c>
      <c r="H320" s="18">
        <v>0</v>
      </c>
      <c r="I320" s="24">
        <v>302444.01</v>
      </c>
      <c r="J320" s="24">
        <v>57708.84</v>
      </c>
      <c r="K320" s="18">
        <f t="shared" si="39"/>
        <v>5613847.1500000004</v>
      </c>
      <c r="L320" s="19">
        <f t="shared" si="40"/>
        <v>11948000</v>
      </c>
      <c r="M320" s="20"/>
      <c r="N320" s="20"/>
      <c r="P320" s="55"/>
      <c r="Q320" s="55"/>
      <c r="R320" s="14"/>
      <c r="S320" s="14"/>
    </row>
    <row r="321" spans="2:19" ht="12.95" hidden="1" customHeight="1" x14ac:dyDescent="0.25">
      <c r="B321" s="16">
        <v>42719</v>
      </c>
      <c r="C321" s="50" t="s">
        <v>320</v>
      </c>
      <c r="D321" s="34"/>
      <c r="E321" s="49">
        <v>5974000</v>
      </c>
      <c r="F321" s="18"/>
      <c r="G321" s="49">
        <f t="shared" si="38"/>
        <v>5974000</v>
      </c>
      <c r="H321" s="18">
        <v>0</v>
      </c>
      <c r="I321" s="24">
        <v>302444.01</v>
      </c>
      <c r="J321" s="24">
        <v>57708.84</v>
      </c>
      <c r="K321" s="18">
        <f t="shared" si="39"/>
        <v>5613847.1500000004</v>
      </c>
      <c r="L321" s="19">
        <f t="shared" si="40"/>
        <v>5974000</v>
      </c>
      <c r="M321" s="20"/>
      <c r="N321" s="20"/>
      <c r="P321" s="55"/>
      <c r="Q321" s="55"/>
      <c r="R321" s="14"/>
      <c r="S321" s="14"/>
    </row>
    <row r="322" spans="2:19" ht="12.95" hidden="1" customHeight="1" x14ac:dyDescent="0.25">
      <c r="B322" s="16">
        <v>42759</v>
      </c>
      <c r="C322" s="50" t="s">
        <v>321</v>
      </c>
      <c r="D322" s="34"/>
      <c r="E322" s="49">
        <v>5575733</v>
      </c>
      <c r="F322" s="18"/>
      <c r="G322" s="49">
        <f t="shared" si="38"/>
        <v>5575733</v>
      </c>
      <c r="H322" s="64">
        <v>0</v>
      </c>
      <c r="I322" s="64">
        <v>219487.01</v>
      </c>
      <c r="J322" s="64">
        <v>53861.58</v>
      </c>
      <c r="K322" s="18">
        <f t="shared" si="39"/>
        <v>5302384.41</v>
      </c>
      <c r="L322" s="19">
        <f t="shared" si="40"/>
        <v>398267</v>
      </c>
      <c r="M322" s="20"/>
      <c r="N322" s="20"/>
      <c r="P322" s="55"/>
      <c r="Q322" s="55"/>
      <c r="R322" s="14"/>
      <c r="S322" s="14"/>
    </row>
    <row r="323" spans="2:19" ht="12.95" hidden="1" customHeight="1" x14ac:dyDescent="0.25">
      <c r="B323" s="16">
        <v>42759</v>
      </c>
      <c r="C323" s="50" t="s">
        <v>24</v>
      </c>
      <c r="D323" s="34"/>
      <c r="E323" s="66">
        <v>398267</v>
      </c>
      <c r="F323" s="18"/>
      <c r="G323" s="49">
        <f t="shared" si="38"/>
        <v>398267</v>
      </c>
      <c r="H323" s="18">
        <v>0</v>
      </c>
      <c r="I323" s="24">
        <v>0</v>
      </c>
      <c r="J323" s="24">
        <v>0</v>
      </c>
      <c r="K323" s="18">
        <f t="shared" si="39"/>
        <v>398267</v>
      </c>
      <c r="L323" s="19">
        <f t="shared" si="40"/>
        <v>0</v>
      </c>
      <c r="M323" s="20"/>
      <c r="N323" s="20"/>
      <c r="P323" s="55"/>
      <c r="Q323" s="55"/>
      <c r="R323" s="14"/>
      <c r="S323" s="14"/>
    </row>
    <row r="324" spans="2:19" ht="12.95" hidden="1" customHeight="1" x14ac:dyDescent="0.25">
      <c r="B324" s="9" t="s">
        <v>322</v>
      </c>
      <c r="C324" s="10"/>
      <c r="D324" s="10">
        <f>800000000+150000000</f>
        <v>950000000</v>
      </c>
      <c r="E324" s="11">
        <f>+D324</f>
        <v>950000000</v>
      </c>
      <c r="F324" s="11"/>
      <c r="G324" s="11"/>
      <c r="H324" s="11"/>
      <c r="I324" s="11"/>
      <c r="J324" s="11"/>
      <c r="K324" s="11"/>
      <c r="L324" s="11">
        <f>+D324</f>
        <v>950000000</v>
      </c>
      <c r="M324" s="12"/>
      <c r="N324" s="12"/>
      <c r="P324" s="55"/>
      <c r="Q324" s="55"/>
      <c r="R324" s="14"/>
      <c r="S324" s="14"/>
    </row>
    <row r="325" spans="2:19" ht="12.95" hidden="1" customHeight="1" x14ac:dyDescent="0.25">
      <c r="B325" s="16">
        <v>42440</v>
      </c>
      <c r="C325" s="36" t="s">
        <v>323</v>
      </c>
      <c r="D325" s="34"/>
      <c r="E325" s="34">
        <v>800000000</v>
      </c>
      <c r="F325" s="18"/>
      <c r="G325" s="49">
        <f>+E325</f>
        <v>800000000</v>
      </c>
      <c r="H325" s="18"/>
      <c r="I325" s="24"/>
      <c r="J325" s="24"/>
      <c r="K325" s="18"/>
      <c r="L325" s="19">
        <f>+L324-E325</f>
        <v>150000000</v>
      </c>
      <c r="M325" s="20"/>
      <c r="N325" s="20"/>
      <c r="P325" s="55"/>
      <c r="Q325" s="55"/>
      <c r="R325" s="14"/>
      <c r="S325" s="14"/>
    </row>
    <row r="326" spans="2:19" ht="12.95" hidden="1" customHeight="1" x14ac:dyDescent="0.25">
      <c r="B326" s="16">
        <v>42675</v>
      </c>
      <c r="C326" s="36" t="s">
        <v>324</v>
      </c>
      <c r="D326" s="34"/>
      <c r="E326" s="34">
        <v>150000000</v>
      </c>
      <c r="F326" s="18"/>
      <c r="G326" s="49">
        <f>+E326</f>
        <v>150000000</v>
      </c>
      <c r="H326" s="18"/>
      <c r="I326" s="24"/>
      <c r="J326" s="24"/>
      <c r="K326" s="18"/>
      <c r="L326" s="19">
        <f>+L325-E326</f>
        <v>0</v>
      </c>
      <c r="M326" s="20"/>
      <c r="N326" s="20"/>
      <c r="P326" s="55"/>
      <c r="Q326" s="55"/>
      <c r="R326" s="14"/>
      <c r="S326" s="14"/>
    </row>
    <row r="327" spans="2:19" ht="12.95" hidden="1" customHeight="1" x14ac:dyDescent="0.25">
      <c r="B327" s="9" t="s">
        <v>325</v>
      </c>
      <c r="C327" s="10"/>
      <c r="D327" s="10">
        <v>102709000</v>
      </c>
      <c r="E327" s="11">
        <f>+D327</f>
        <v>102709000</v>
      </c>
      <c r="F327" s="11"/>
      <c r="G327" s="11"/>
      <c r="H327" s="11"/>
      <c r="I327" s="11"/>
      <c r="J327" s="11"/>
      <c r="K327" s="11"/>
      <c r="L327" s="11">
        <f>+D327</f>
        <v>102709000</v>
      </c>
      <c r="M327" s="12"/>
      <c r="N327" s="12"/>
      <c r="P327" s="55"/>
      <c r="Q327" s="55"/>
      <c r="R327" s="14"/>
      <c r="S327" s="14"/>
    </row>
    <row r="328" spans="2:19" ht="12.95" hidden="1" customHeight="1" x14ac:dyDescent="0.25">
      <c r="B328" s="16">
        <v>42451</v>
      </c>
      <c r="C328" s="36" t="s">
        <v>326</v>
      </c>
      <c r="D328" s="34"/>
      <c r="E328" s="18">
        <v>7519000</v>
      </c>
      <c r="F328" s="18">
        <v>0</v>
      </c>
      <c r="G328" s="49">
        <f t="shared" ref="G328:G344" si="41">+E328</f>
        <v>7519000</v>
      </c>
      <c r="H328" s="18">
        <v>0</v>
      </c>
      <c r="I328" s="18">
        <v>298600.87</v>
      </c>
      <c r="J328" s="18">
        <v>64353.32</v>
      </c>
      <c r="K328" s="18">
        <f t="shared" ref="K328:K344" si="42">+G328-H328-I328-J328</f>
        <v>7156045.8099999996</v>
      </c>
      <c r="L328" s="19">
        <f>+L327-G328</f>
        <v>95190000</v>
      </c>
      <c r="M328" s="20"/>
      <c r="N328" s="20"/>
      <c r="P328" s="55"/>
      <c r="Q328" s="55"/>
      <c r="R328" s="14"/>
      <c r="S328" s="14"/>
    </row>
    <row r="329" spans="2:19" ht="12.95" hidden="1" customHeight="1" x14ac:dyDescent="0.25">
      <c r="B329" s="16">
        <v>42472</v>
      </c>
      <c r="C329" s="55" t="s">
        <v>327</v>
      </c>
      <c r="D329" s="55"/>
      <c r="E329" s="18">
        <v>7519000</v>
      </c>
      <c r="F329" s="18">
        <v>0</v>
      </c>
      <c r="G329" s="49">
        <f t="shared" si="41"/>
        <v>7519000</v>
      </c>
      <c r="H329" s="56">
        <v>0</v>
      </c>
      <c r="I329" s="56">
        <v>298611.7</v>
      </c>
      <c r="J329" s="56">
        <v>64353.32</v>
      </c>
      <c r="K329" s="18">
        <f t="shared" si="42"/>
        <v>7156034.9799999995</v>
      </c>
      <c r="L329" s="19">
        <f t="shared" ref="L329:L344" si="43">+L328-E329</f>
        <v>87671000</v>
      </c>
      <c r="M329" s="20"/>
      <c r="N329" s="20"/>
      <c r="P329" s="55"/>
      <c r="Q329" s="55"/>
      <c r="R329" s="14"/>
      <c r="S329" s="14"/>
    </row>
    <row r="330" spans="2:19" ht="12.95" hidden="1" customHeight="1" x14ac:dyDescent="0.25">
      <c r="B330" s="16">
        <v>42506</v>
      </c>
      <c r="C330" s="36" t="s">
        <v>328</v>
      </c>
      <c r="D330" s="34"/>
      <c r="E330" s="18">
        <v>7519000</v>
      </c>
      <c r="F330" s="18">
        <v>0</v>
      </c>
      <c r="G330" s="49">
        <f t="shared" si="41"/>
        <v>7519000</v>
      </c>
      <c r="H330" s="18">
        <v>0</v>
      </c>
      <c r="I330" s="56">
        <v>298611.7</v>
      </c>
      <c r="J330" s="18">
        <v>64353.32</v>
      </c>
      <c r="K330" s="18">
        <f t="shared" si="42"/>
        <v>7156034.9799999995</v>
      </c>
      <c r="L330" s="19">
        <f t="shared" si="43"/>
        <v>80152000</v>
      </c>
      <c r="M330" s="20"/>
      <c r="N330" s="20"/>
      <c r="P330" s="55"/>
      <c r="Q330" s="55"/>
      <c r="R330" s="14"/>
      <c r="S330" s="14"/>
    </row>
    <row r="331" spans="2:19" ht="12.95" hidden="1" customHeight="1" x14ac:dyDescent="0.25">
      <c r="B331" s="16">
        <v>42506</v>
      </c>
      <c r="C331" s="55" t="s">
        <v>329</v>
      </c>
      <c r="D331" s="55"/>
      <c r="E331" s="18">
        <v>2701294</v>
      </c>
      <c r="F331" s="18">
        <v>0</v>
      </c>
      <c r="G331" s="49">
        <f t="shared" si="41"/>
        <v>2701294</v>
      </c>
      <c r="H331" s="56">
        <v>0</v>
      </c>
      <c r="I331" s="56">
        <v>506012.04</v>
      </c>
      <c r="J331" s="56">
        <v>26094.5</v>
      </c>
      <c r="K331" s="18">
        <f t="shared" si="42"/>
        <v>2169187.46</v>
      </c>
      <c r="L331" s="19">
        <f t="shared" si="43"/>
        <v>77450706</v>
      </c>
      <c r="M331" s="20"/>
      <c r="N331" s="20"/>
      <c r="P331" s="55"/>
      <c r="Q331" s="55"/>
      <c r="R331" s="14"/>
      <c r="S331" s="14"/>
    </row>
    <row r="332" spans="2:19" ht="12.95" hidden="1" customHeight="1" x14ac:dyDescent="0.25">
      <c r="B332" s="16">
        <v>42545</v>
      </c>
      <c r="C332" s="50" t="s">
        <v>330</v>
      </c>
      <c r="D332" s="55"/>
      <c r="E332" s="18">
        <v>7519000</v>
      </c>
      <c r="F332" s="18">
        <v>0</v>
      </c>
      <c r="G332" s="49">
        <f t="shared" si="41"/>
        <v>7519000</v>
      </c>
      <c r="H332" s="56">
        <v>0</v>
      </c>
      <c r="I332" s="56">
        <v>298611.7</v>
      </c>
      <c r="J332" s="56">
        <v>64353.32</v>
      </c>
      <c r="K332" s="18">
        <f t="shared" si="42"/>
        <v>7156034.9799999995</v>
      </c>
      <c r="L332" s="19">
        <f t="shared" si="43"/>
        <v>69931706</v>
      </c>
      <c r="M332" s="20"/>
      <c r="N332" s="20"/>
      <c r="P332" s="55"/>
      <c r="Q332" s="55"/>
      <c r="R332" s="14"/>
      <c r="S332" s="14"/>
    </row>
    <row r="333" spans="2:19" ht="12.95" hidden="1" customHeight="1" x14ac:dyDescent="0.25">
      <c r="B333" s="16">
        <v>42576</v>
      </c>
      <c r="C333" s="50" t="s">
        <v>331</v>
      </c>
      <c r="D333" s="55"/>
      <c r="E333" s="18">
        <v>7519000</v>
      </c>
      <c r="F333" s="18">
        <v>0</v>
      </c>
      <c r="G333" s="49">
        <f t="shared" si="41"/>
        <v>7519000</v>
      </c>
      <c r="H333" s="56">
        <v>0</v>
      </c>
      <c r="I333" s="56">
        <v>298611.7</v>
      </c>
      <c r="J333" s="56">
        <v>64353.32</v>
      </c>
      <c r="K333" s="18">
        <f t="shared" si="42"/>
        <v>7156034.9799999995</v>
      </c>
      <c r="L333" s="19">
        <f t="shared" si="43"/>
        <v>62412706</v>
      </c>
      <c r="M333" s="20"/>
      <c r="N333" s="20"/>
      <c r="P333" s="55"/>
      <c r="Q333" s="55"/>
      <c r="R333" s="14"/>
      <c r="S333" s="14"/>
    </row>
    <row r="334" spans="2:19" ht="12.95" hidden="1" customHeight="1" x14ac:dyDescent="0.25">
      <c r="B334" s="16">
        <v>42565</v>
      </c>
      <c r="C334" s="50" t="s">
        <v>332</v>
      </c>
      <c r="D334" s="55"/>
      <c r="E334" s="18">
        <v>0</v>
      </c>
      <c r="F334" s="18">
        <v>0</v>
      </c>
      <c r="G334" s="49">
        <f t="shared" si="41"/>
        <v>0</v>
      </c>
      <c r="H334" s="56">
        <v>0</v>
      </c>
      <c r="I334" s="56">
        <v>-506012.03</v>
      </c>
      <c r="J334" s="56"/>
      <c r="K334" s="18">
        <f t="shared" si="42"/>
        <v>506012.03</v>
      </c>
      <c r="L334" s="19">
        <f t="shared" si="43"/>
        <v>62412706</v>
      </c>
      <c r="M334" s="20"/>
      <c r="N334" s="20"/>
      <c r="P334" s="55"/>
      <c r="Q334" s="55"/>
      <c r="R334" s="14"/>
      <c r="S334" s="14"/>
    </row>
    <row r="335" spans="2:19" ht="12.95" hidden="1" customHeight="1" x14ac:dyDescent="0.25">
      <c r="B335" s="16">
        <v>42566</v>
      </c>
      <c r="C335" s="50" t="s">
        <v>333</v>
      </c>
      <c r="D335" s="55"/>
      <c r="E335" s="18">
        <v>0</v>
      </c>
      <c r="F335" s="18">
        <v>0</v>
      </c>
      <c r="G335" s="49">
        <f t="shared" si="41"/>
        <v>0</v>
      </c>
      <c r="H335" s="56">
        <v>0</v>
      </c>
      <c r="I335" s="56"/>
      <c r="J335" s="56">
        <v>-26094.5</v>
      </c>
      <c r="K335" s="18">
        <f t="shared" si="42"/>
        <v>26094.5</v>
      </c>
      <c r="L335" s="19">
        <f t="shared" si="43"/>
        <v>62412706</v>
      </c>
      <c r="M335" s="20"/>
      <c r="N335" s="20"/>
      <c r="P335" s="55"/>
      <c r="Q335" s="55"/>
      <c r="R335" s="14"/>
      <c r="S335" s="14"/>
    </row>
    <row r="336" spans="2:19" ht="12.95" hidden="1" customHeight="1" x14ac:dyDescent="0.25">
      <c r="B336" s="16">
        <v>42601</v>
      </c>
      <c r="C336" s="50" t="s">
        <v>334</v>
      </c>
      <c r="D336" s="55"/>
      <c r="E336" s="18">
        <v>2802223</v>
      </c>
      <c r="F336" s="18">
        <v>0</v>
      </c>
      <c r="G336" s="49">
        <f t="shared" si="41"/>
        <v>2802223</v>
      </c>
      <c r="H336" s="56">
        <v>0</v>
      </c>
      <c r="I336" s="56">
        <v>0</v>
      </c>
      <c r="J336" s="56">
        <v>0</v>
      </c>
      <c r="K336" s="18">
        <f t="shared" si="42"/>
        <v>2802223</v>
      </c>
      <c r="L336" s="19">
        <f t="shared" si="43"/>
        <v>59610483</v>
      </c>
      <c r="M336" s="20"/>
      <c r="N336" s="20"/>
      <c r="P336" s="55"/>
      <c r="Q336" s="55"/>
      <c r="R336" s="14"/>
      <c r="S336" s="14"/>
    </row>
    <row r="337" spans="2:19" ht="12.95" hidden="1" customHeight="1" x14ac:dyDescent="0.25">
      <c r="B337" s="16">
        <v>42615</v>
      </c>
      <c r="C337" s="50" t="s">
        <v>335</v>
      </c>
      <c r="D337" s="55"/>
      <c r="E337" s="18">
        <v>7519000</v>
      </c>
      <c r="F337" s="18">
        <v>0</v>
      </c>
      <c r="G337" s="49">
        <f t="shared" si="41"/>
        <v>7519000</v>
      </c>
      <c r="H337" s="56">
        <v>0</v>
      </c>
      <c r="I337" s="56">
        <v>302886.7</v>
      </c>
      <c r="J337" s="56">
        <v>64353.32</v>
      </c>
      <c r="K337" s="18">
        <f t="shared" si="42"/>
        <v>7151759.9799999995</v>
      </c>
      <c r="L337" s="19">
        <f t="shared" si="43"/>
        <v>52091483</v>
      </c>
      <c r="M337" s="20"/>
      <c r="N337" s="20"/>
      <c r="P337" s="55"/>
      <c r="Q337" s="55"/>
      <c r="R337" s="14"/>
      <c r="S337" s="14"/>
    </row>
    <row r="338" spans="2:19" ht="12.95" hidden="1" customHeight="1" x14ac:dyDescent="0.25">
      <c r="B338" s="16">
        <v>42670</v>
      </c>
      <c r="C338" s="50" t="s">
        <v>336</v>
      </c>
      <c r="D338" s="55"/>
      <c r="E338" s="18">
        <v>1444539</v>
      </c>
      <c r="F338" s="18">
        <v>0</v>
      </c>
      <c r="G338" s="49">
        <f t="shared" si="41"/>
        <v>1444539</v>
      </c>
      <c r="H338" s="56">
        <v>0</v>
      </c>
      <c r="I338" s="56"/>
      <c r="J338" s="56"/>
      <c r="K338" s="18">
        <f t="shared" si="42"/>
        <v>1444539</v>
      </c>
      <c r="L338" s="19">
        <f t="shared" si="43"/>
        <v>50646944</v>
      </c>
      <c r="M338" s="20"/>
      <c r="N338" s="20"/>
      <c r="P338" s="55"/>
      <c r="Q338" s="55"/>
      <c r="R338" s="14"/>
      <c r="S338" s="14"/>
    </row>
    <row r="339" spans="2:19" ht="12.95" hidden="1" customHeight="1" x14ac:dyDescent="0.25">
      <c r="B339" s="16">
        <v>42671</v>
      </c>
      <c r="C339" s="50" t="s">
        <v>337</v>
      </c>
      <c r="D339" s="55"/>
      <c r="E339" s="18">
        <v>7519000</v>
      </c>
      <c r="F339" s="18">
        <v>0</v>
      </c>
      <c r="G339" s="49">
        <f t="shared" si="41"/>
        <v>7519000</v>
      </c>
      <c r="H339" s="56">
        <v>0</v>
      </c>
      <c r="I339" s="56">
        <v>298611.7</v>
      </c>
      <c r="J339" s="56">
        <v>64353.32</v>
      </c>
      <c r="K339" s="18">
        <f t="shared" si="42"/>
        <v>7156034.9799999995</v>
      </c>
      <c r="L339" s="19">
        <f t="shared" si="43"/>
        <v>43127944</v>
      </c>
      <c r="M339" s="20"/>
      <c r="N339" s="20"/>
      <c r="P339" s="55"/>
      <c r="Q339" s="55"/>
      <c r="R339" s="14"/>
      <c r="S339" s="14"/>
    </row>
    <row r="340" spans="2:19" ht="12.95" hidden="1" customHeight="1" x14ac:dyDescent="0.25">
      <c r="B340" s="16">
        <v>42699</v>
      </c>
      <c r="C340" s="50" t="s">
        <v>338</v>
      </c>
      <c r="D340" s="55"/>
      <c r="E340" s="18">
        <v>7519000</v>
      </c>
      <c r="F340" s="18">
        <v>0</v>
      </c>
      <c r="G340" s="49">
        <f t="shared" si="41"/>
        <v>7519000</v>
      </c>
      <c r="H340" s="56">
        <v>0</v>
      </c>
      <c r="I340" s="56">
        <v>302886.7</v>
      </c>
      <c r="J340" s="56">
        <v>64353.32</v>
      </c>
      <c r="K340" s="18">
        <f t="shared" si="42"/>
        <v>7151759.9799999995</v>
      </c>
      <c r="L340" s="19">
        <f t="shared" si="43"/>
        <v>35608944</v>
      </c>
      <c r="M340" s="20"/>
      <c r="N340" s="20"/>
      <c r="P340" s="55"/>
      <c r="Q340" s="55"/>
      <c r="R340" s="14"/>
      <c r="S340" s="14"/>
    </row>
    <row r="341" spans="2:19" ht="12.95" hidden="1" customHeight="1" x14ac:dyDescent="0.25">
      <c r="B341" s="16">
        <v>42718</v>
      </c>
      <c r="C341" s="50" t="s">
        <v>339</v>
      </c>
      <c r="D341" s="55"/>
      <c r="E341" s="18">
        <v>7519000</v>
      </c>
      <c r="F341" s="18">
        <v>0</v>
      </c>
      <c r="G341" s="49">
        <f t="shared" si="41"/>
        <v>7519000</v>
      </c>
      <c r="H341" s="56">
        <v>0</v>
      </c>
      <c r="I341" s="56">
        <v>302886.7</v>
      </c>
      <c r="J341" s="56">
        <v>64353.32</v>
      </c>
      <c r="K341" s="18">
        <f t="shared" si="42"/>
        <v>7151759.9799999995</v>
      </c>
      <c r="L341" s="19">
        <f t="shared" si="43"/>
        <v>28089944</v>
      </c>
      <c r="M341" s="20"/>
      <c r="N341" s="20"/>
      <c r="P341" s="55"/>
      <c r="Q341" s="55"/>
      <c r="R341" s="14"/>
      <c r="S341" s="14"/>
    </row>
    <row r="342" spans="2:19" ht="12.95" hidden="1" customHeight="1" x14ac:dyDescent="0.25">
      <c r="B342" s="16">
        <v>42718</v>
      </c>
      <c r="C342" s="50" t="s">
        <v>340</v>
      </c>
      <c r="D342" s="55"/>
      <c r="E342" s="18">
        <v>7519000</v>
      </c>
      <c r="F342" s="18">
        <v>0</v>
      </c>
      <c r="G342" s="49">
        <f t="shared" si="41"/>
        <v>7519000</v>
      </c>
      <c r="H342" s="56">
        <v>0</v>
      </c>
      <c r="I342" s="56">
        <v>1336453.4099999999</v>
      </c>
      <c r="J342" s="56">
        <v>64353.32</v>
      </c>
      <c r="K342" s="18">
        <f t="shared" si="42"/>
        <v>6118193.2699999996</v>
      </c>
      <c r="L342" s="19">
        <f t="shared" si="43"/>
        <v>20570944</v>
      </c>
      <c r="M342" s="20"/>
      <c r="N342" s="20"/>
      <c r="P342" s="55"/>
      <c r="Q342" s="55"/>
      <c r="R342" s="14"/>
      <c r="S342" s="14"/>
    </row>
    <row r="343" spans="2:19" ht="12.95" hidden="1" customHeight="1" x14ac:dyDescent="0.25">
      <c r="B343" s="16">
        <v>42741</v>
      </c>
      <c r="C343" s="50" t="s">
        <v>341</v>
      </c>
      <c r="D343" s="55"/>
      <c r="E343" s="18">
        <v>6767100</v>
      </c>
      <c r="F343" s="18">
        <v>0</v>
      </c>
      <c r="G343" s="49">
        <f t="shared" si="41"/>
        <v>6767100</v>
      </c>
      <c r="H343" s="56">
        <v>0</v>
      </c>
      <c r="I343" s="56">
        <v>180656.84</v>
      </c>
      <c r="J343" s="56">
        <v>57917.98</v>
      </c>
      <c r="K343" s="18">
        <f t="shared" si="42"/>
        <v>6528525.1799999997</v>
      </c>
      <c r="L343" s="19">
        <f t="shared" si="43"/>
        <v>13803844</v>
      </c>
      <c r="M343" s="20"/>
      <c r="N343" s="20"/>
      <c r="P343" s="55"/>
      <c r="Q343" s="55"/>
      <c r="R343" s="14"/>
      <c r="S343" s="14"/>
    </row>
    <row r="344" spans="2:19" ht="12.95" hidden="1" customHeight="1" x14ac:dyDescent="0.25">
      <c r="B344" s="16">
        <v>42741</v>
      </c>
      <c r="C344" s="50" t="s">
        <v>24</v>
      </c>
      <c r="D344" s="55"/>
      <c r="E344" s="18">
        <v>13803844</v>
      </c>
      <c r="F344" s="18">
        <v>0</v>
      </c>
      <c r="G344" s="49">
        <f t="shared" si="41"/>
        <v>13803844</v>
      </c>
      <c r="H344" s="56">
        <v>0</v>
      </c>
      <c r="I344" s="56"/>
      <c r="J344" s="56"/>
      <c r="K344" s="18">
        <f t="shared" si="42"/>
        <v>13803844</v>
      </c>
      <c r="L344" s="19">
        <f t="shared" si="43"/>
        <v>0</v>
      </c>
      <c r="M344" s="20"/>
      <c r="N344" s="20"/>
      <c r="P344" s="55"/>
      <c r="Q344" s="55"/>
      <c r="R344" s="14"/>
      <c r="S344" s="14"/>
    </row>
    <row r="345" spans="2:19" ht="12.95" hidden="1" customHeight="1" x14ac:dyDescent="0.25">
      <c r="B345" s="9" t="s">
        <v>342</v>
      </c>
      <c r="C345" s="10"/>
      <c r="D345" s="10">
        <v>93709297</v>
      </c>
      <c r="E345" s="11">
        <f>+D345</f>
        <v>93709297</v>
      </c>
      <c r="F345" s="11"/>
      <c r="G345" s="11"/>
      <c r="H345" s="11"/>
      <c r="I345" s="11"/>
      <c r="J345" s="11"/>
      <c r="K345" s="11"/>
      <c r="L345" s="11">
        <f>+D345</f>
        <v>93709297</v>
      </c>
      <c r="M345" s="12"/>
      <c r="N345" s="12"/>
      <c r="P345" s="55"/>
      <c r="Q345" s="55"/>
      <c r="R345" s="14"/>
      <c r="S345" s="14"/>
    </row>
    <row r="346" spans="2:19" ht="12.95" hidden="1" customHeight="1" x14ac:dyDescent="0.25">
      <c r="B346" s="16">
        <v>42472</v>
      </c>
      <c r="C346" s="50" t="s">
        <v>343</v>
      </c>
      <c r="D346" s="34"/>
      <c r="E346" s="18">
        <v>8519027</v>
      </c>
      <c r="F346" s="18">
        <v>0</v>
      </c>
      <c r="G346" s="18">
        <f t="shared" ref="G346:G357" si="44">+E346</f>
        <v>8519027</v>
      </c>
      <c r="H346" s="18">
        <v>0</v>
      </c>
      <c r="I346" s="18">
        <v>400097.01</v>
      </c>
      <c r="J346" s="18">
        <v>72912.31</v>
      </c>
      <c r="K346" s="18">
        <f t="shared" ref="K346:K357" si="45">+G346-I346-J346</f>
        <v>8046017.6800000006</v>
      </c>
      <c r="L346" s="19">
        <f t="shared" ref="L346:L357" si="46">+L345-G346</f>
        <v>85190270</v>
      </c>
      <c r="M346" s="20"/>
      <c r="N346" s="20"/>
      <c r="P346" s="55"/>
      <c r="Q346" s="55"/>
      <c r="R346" s="14"/>
      <c r="S346" s="14"/>
    </row>
    <row r="347" spans="2:19" ht="12.95" hidden="1" customHeight="1" x14ac:dyDescent="0.25">
      <c r="B347" s="16">
        <v>42494</v>
      </c>
      <c r="C347" s="50" t="s">
        <v>344</v>
      </c>
      <c r="D347" s="34"/>
      <c r="E347" s="18">
        <v>8519027</v>
      </c>
      <c r="F347" s="18">
        <v>0</v>
      </c>
      <c r="G347" s="18">
        <f t="shared" si="44"/>
        <v>8519027</v>
      </c>
      <c r="H347" s="18">
        <v>0</v>
      </c>
      <c r="I347" s="18">
        <v>400097.01</v>
      </c>
      <c r="J347" s="18">
        <v>72912.31</v>
      </c>
      <c r="K347" s="18">
        <f t="shared" si="45"/>
        <v>8046017.6800000006</v>
      </c>
      <c r="L347" s="19">
        <f t="shared" si="46"/>
        <v>76671243</v>
      </c>
      <c r="M347" s="20"/>
      <c r="N347" s="20"/>
      <c r="P347" s="55"/>
      <c r="Q347" s="55"/>
      <c r="R347" s="14"/>
      <c r="S347" s="14"/>
    </row>
    <row r="348" spans="2:19" ht="12.95" hidden="1" customHeight="1" x14ac:dyDescent="0.25">
      <c r="B348" s="16">
        <v>42545</v>
      </c>
      <c r="C348" s="50" t="s">
        <v>345</v>
      </c>
      <c r="D348" s="34"/>
      <c r="E348" s="18">
        <v>8519027</v>
      </c>
      <c r="F348" s="18">
        <v>0</v>
      </c>
      <c r="G348" s="18">
        <f t="shared" si="44"/>
        <v>8519027</v>
      </c>
      <c r="H348" s="18">
        <v>0</v>
      </c>
      <c r="I348" s="18">
        <v>578996.41</v>
      </c>
      <c r="J348" s="18">
        <v>72912.31</v>
      </c>
      <c r="K348" s="18">
        <f t="shared" si="45"/>
        <v>7867118.2800000003</v>
      </c>
      <c r="L348" s="19">
        <f t="shared" si="46"/>
        <v>68152216</v>
      </c>
      <c r="M348" s="20"/>
      <c r="N348" s="20"/>
      <c r="P348" s="55"/>
      <c r="Q348" s="55"/>
      <c r="R348" s="14"/>
      <c r="S348" s="14"/>
    </row>
    <row r="349" spans="2:19" ht="12.95" hidden="1" customHeight="1" x14ac:dyDescent="0.25">
      <c r="B349" s="16">
        <v>42564</v>
      </c>
      <c r="C349" s="50" t="s">
        <v>346</v>
      </c>
      <c r="D349" s="34"/>
      <c r="E349" s="18">
        <v>8519027</v>
      </c>
      <c r="F349" s="18">
        <v>0</v>
      </c>
      <c r="G349" s="18">
        <f t="shared" si="44"/>
        <v>8519027</v>
      </c>
      <c r="H349" s="18">
        <v>0</v>
      </c>
      <c r="I349" s="18">
        <v>400097.16</v>
      </c>
      <c r="J349" s="18">
        <v>72912.31</v>
      </c>
      <c r="K349" s="18">
        <f t="shared" si="45"/>
        <v>8046017.5300000003</v>
      </c>
      <c r="L349" s="19">
        <f t="shared" si="46"/>
        <v>59633189</v>
      </c>
      <c r="M349" s="20"/>
      <c r="N349" s="20"/>
      <c r="P349" s="55"/>
      <c r="Q349" s="55"/>
      <c r="R349" s="14"/>
      <c r="S349" s="14"/>
    </row>
    <row r="350" spans="2:19" ht="12.95" hidden="1" customHeight="1" x14ac:dyDescent="0.25">
      <c r="B350" s="16">
        <v>42590</v>
      </c>
      <c r="C350" s="50" t="s">
        <v>347</v>
      </c>
      <c r="D350" s="34"/>
      <c r="E350" s="18">
        <v>8519027</v>
      </c>
      <c r="F350" s="18">
        <v>0</v>
      </c>
      <c r="G350" s="18">
        <f t="shared" si="44"/>
        <v>8519027</v>
      </c>
      <c r="H350" s="18">
        <v>0</v>
      </c>
      <c r="I350" s="18">
        <v>400096.86</v>
      </c>
      <c r="J350" s="18">
        <v>72912.31</v>
      </c>
      <c r="K350" s="18">
        <f t="shared" si="45"/>
        <v>8046017.8300000001</v>
      </c>
      <c r="L350" s="19">
        <f t="shared" si="46"/>
        <v>51114162</v>
      </c>
      <c r="M350" s="20"/>
      <c r="N350" s="20"/>
      <c r="P350" s="55"/>
      <c r="Q350" s="55"/>
      <c r="R350" s="14"/>
      <c r="S350" s="14"/>
    </row>
    <row r="351" spans="2:19" ht="12.95" hidden="1" customHeight="1" x14ac:dyDescent="0.25">
      <c r="B351" s="16">
        <v>42633</v>
      </c>
      <c r="C351" s="50" t="s">
        <v>348</v>
      </c>
      <c r="D351" s="34"/>
      <c r="E351" s="18">
        <v>8519027</v>
      </c>
      <c r="F351" s="18">
        <v>0</v>
      </c>
      <c r="G351" s="18">
        <f t="shared" si="44"/>
        <v>8519027</v>
      </c>
      <c r="H351" s="18">
        <v>0</v>
      </c>
      <c r="I351" s="18">
        <v>400096.86</v>
      </c>
      <c r="J351" s="18">
        <v>72912.31</v>
      </c>
      <c r="K351" s="18">
        <f t="shared" si="45"/>
        <v>8046017.8300000001</v>
      </c>
      <c r="L351" s="19">
        <f t="shared" si="46"/>
        <v>42595135</v>
      </c>
      <c r="M351" s="20"/>
      <c r="N351" s="20"/>
      <c r="P351" s="55"/>
      <c r="Q351" s="55"/>
      <c r="R351" s="14"/>
      <c r="S351" s="14"/>
    </row>
    <row r="352" spans="2:19" ht="12.95" hidden="1" customHeight="1" x14ac:dyDescent="0.25">
      <c r="B352" s="16">
        <v>42661</v>
      </c>
      <c r="C352" s="50" t="s">
        <v>349</v>
      </c>
      <c r="D352" s="34"/>
      <c r="E352" s="18">
        <v>8519027</v>
      </c>
      <c r="F352" s="18">
        <v>0</v>
      </c>
      <c r="G352" s="18">
        <f t="shared" si="44"/>
        <v>8519027</v>
      </c>
      <c r="H352" s="18">
        <v>0</v>
      </c>
      <c r="I352" s="18">
        <v>400096.86</v>
      </c>
      <c r="J352" s="18">
        <v>72912.31</v>
      </c>
      <c r="K352" s="18">
        <f t="shared" si="45"/>
        <v>8046017.8300000001</v>
      </c>
      <c r="L352" s="19">
        <f t="shared" si="46"/>
        <v>34076108</v>
      </c>
      <c r="M352" s="20"/>
      <c r="N352" s="20"/>
      <c r="P352" s="55"/>
      <c r="Q352" s="55"/>
      <c r="R352" s="14"/>
      <c r="S352" s="14"/>
    </row>
    <row r="353" spans="2:19" ht="12.95" hidden="1" customHeight="1" x14ac:dyDescent="0.25">
      <c r="B353" s="16">
        <v>42684</v>
      </c>
      <c r="C353" s="50" t="s">
        <v>350</v>
      </c>
      <c r="D353" s="34"/>
      <c r="E353" s="18">
        <v>8519027</v>
      </c>
      <c r="F353" s="18">
        <v>0</v>
      </c>
      <c r="G353" s="18">
        <f t="shared" si="44"/>
        <v>8519027</v>
      </c>
      <c r="H353" s="18">
        <v>0</v>
      </c>
      <c r="I353" s="18">
        <v>400096.86</v>
      </c>
      <c r="J353" s="18">
        <v>72912.31</v>
      </c>
      <c r="K353" s="18">
        <f t="shared" si="45"/>
        <v>8046017.8300000001</v>
      </c>
      <c r="L353" s="19">
        <f t="shared" si="46"/>
        <v>25557081</v>
      </c>
      <c r="M353" s="20"/>
      <c r="N353" s="20"/>
      <c r="P353" s="55"/>
      <c r="Q353" s="55"/>
      <c r="R353" s="14"/>
      <c r="S353" s="14"/>
    </row>
    <row r="354" spans="2:19" ht="12.95" hidden="1" customHeight="1" x14ac:dyDescent="0.25">
      <c r="B354" s="16">
        <v>42710</v>
      </c>
      <c r="C354" s="50" t="s">
        <v>351</v>
      </c>
      <c r="D354" s="34"/>
      <c r="E354" s="18">
        <v>8519027</v>
      </c>
      <c r="F354" s="18">
        <v>0</v>
      </c>
      <c r="G354" s="18">
        <f t="shared" si="44"/>
        <v>8519027</v>
      </c>
      <c r="H354" s="18">
        <v>0</v>
      </c>
      <c r="I354" s="18">
        <v>400096.86</v>
      </c>
      <c r="J354" s="18">
        <v>72912.31</v>
      </c>
      <c r="K354" s="18">
        <f t="shared" si="45"/>
        <v>8046017.8300000001</v>
      </c>
      <c r="L354" s="19">
        <f t="shared" si="46"/>
        <v>17038054</v>
      </c>
      <c r="M354" s="20"/>
      <c r="N354" s="20"/>
      <c r="P354" s="55"/>
      <c r="Q354" s="55"/>
      <c r="R354" s="14"/>
      <c r="S354" s="14"/>
    </row>
    <row r="355" spans="2:19" ht="12.95" hidden="1" customHeight="1" x14ac:dyDescent="0.25">
      <c r="B355" s="16">
        <v>42741</v>
      </c>
      <c r="C355" s="50" t="s">
        <v>352</v>
      </c>
      <c r="D355" s="34"/>
      <c r="E355" s="18">
        <v>8519027</v>
      </c>
      <c r="F355" s="18">
        <v>0</v>
      </c>
      <c r="G355" s="18">
        <f t="shared" si="44"/>
        <v>8519027</v>
      </c>
      <c r="H355" s="18">
        <v>0</v>
      </c>
      <c r="I355" s="18">
        <v>332704.84000000003</v>
      </c>
      <c r="J355" s="18">
        <v>72912.31</v>
      </c>
      <c r="K355" s="18">
        <f t="shared" si="45"/>
        <v>8113409.8500000006</v>
      </c>
      <c r="L355" s="19">
        <f t="shared" si="46"/>
        <v>8519027</v>
      </c>
      <c r="M355" s="20"/>
      <c r="N355" s="20"/>
      <c r="P355" s="55"/>
      <c r="Q355" s="55"/>
      <c r="R355" s="14"/>
      <c r="S355" s="14"/>
    </row>
    <row r="356" spans="2:19" ht="12.95" hidden="1" customHeight="1" x14ac:dyDescent="0.25">
      <c r="B356" s="16">
        <v>42775</v>
      </c>
      <c r="C356" s="50" t="s">
        <v>353</v>
      </c>
      <c r="D356" s="34"/>
      <c r="E356" s="18">
        <v>7951092</v>
      </c>
      <c r="F356" s="18">
        <v>0</v>
      </c>
      <c r="G356" s="18">
        <f t="shared" si="44"/>
        <v>7951092</v>
      </c>
      <c r="H356" s="18">
        <v>0</v>
      </c>
      <c r="I356" s="18">
        <v>278892.92</v>
      </c>
      <c r="J356" s="18">
        <v>68051.490000000005</v>
      </c>
      <c r="K356" s="18">
        <f t="shared" si="45"/>
        <v>7604147.5899999999</v>
      </c>
      <c r="L356" s="19">
        <f t="shared" si="46"/>
        <v>567935</v>
      </c>
      <c r="M356" s="20"/>
      <c r="N356" s="20"/>
      <c r="P356" s="55"/>
      <c r="Q356" s="55"/>
      <c r="R356" s="14"/>
      <c r="S356" s="14"/>
    </row>
    <row r="357" spans="2:19" ht="12.95" hidden="1" customHeight="1" x14ac:dyDescent="0.25">
      <c r="B357" s="16">
        <v>42775</v>
      </c>
      <c r="C357" s="50" t="s">
        <v>24</v>
      </c>
      <c r="D357" s="34"/>
      <c r="E357" s="18">
        <v>567935</v>
      </c>
      <c r="F357" s="18">
        <v>0</v>
      </c>
      <c r="G357" s="18">
        <f t="shared" si="44"/>
        <v>567935</v>
      </c>
      <c r="H357" s="18">
        <v>0</v>
      </c>
      <c r="I357" s="18">
        <v>0</v>
      </c>
      <c r="J357" s="18">
        <v>0</v>
      </c>
      <c r="K357" s="18">
        <f t="shared" si="45"/>
        <v>567935</v>
      </c>
      <c r="L357" s="19">
        <f t="shared" si="46"/>
        <v>0</v>
      </c>
      <c r="M357" s="20"/>
      <c r="N357" s="20"/>
      <c r="P357" s="55"/>
      <c r="Q357" s="55"/>
      <c r="R357" s="14"/>
      <c r="S357" s="14"/>
    </row>
    <row r="358" spans="2:19" ht="12.95" hidden="1" customHeight="1" x14ac:dyDescent="0.25">
      <c r="B358" s="9" t="s">
        <v>354</v>
      </c>
      <c r="C358" s="10"/>
      <c r="D358" s="10">
        <v>96323000</v>
      </c>
      <c r="E358" s="11">
        <f>+D358</f>
        <v>96323000</v>
      </c>
      <c r="F358" s="11"/>
      <c r="G358" s="11"/>
      <c r="H358" s="11"/>
      <c r="I358" s="11"/>
      <c r="J358" s="11"/>
      <c r="K358" s="11"/>
      <c r="L358" s="11">
        <f>+D358</f>
        <v>96323000</v>
      </c>
      <c r="M358" s="12"/>
      <c r="N358" s="12"/>
      <c r="P358" s="55"/>
      <c r="Q358" s="55"/>
      <c r="R358" s="14"/>
      <c r="S358" s="14"/>
    </row>
    <row r="359" spans="2:19" ht="12.95" hidden="1" customHeight="1" x14ac:dyDescent="0.25">
      <c r="B359" s="32">
        <v>42485</v>
      </c>
      <c r="C359" s="33" t="s">
        <v>355</v>
      </c>
      <c r="D359" s="34"/>
      <c r="E359" s="34">
        <v>8034000</v>
      </c>
      <c r="F359" s="18">
        <v>0</v>
      </c>
      <c r="G359" s="18">
        <f t="shared" ref="G359:G371" si="47">+E359</f>
        <v>8034000</v>
      </c>
      <c r="H359" s="18"/>
      <c r="I359" s="18">
        <v>532433.48</v>
      </c>
      <c r="J359" s="18">
        <v>68761.08</v>
      </c>
      <c r="K359" s="18">
        <f t="shared" ref="K359:K371" si="48">+G359-I359-J359</f>
        <v>7432805.4399999995</v>
      </c>
      <c r="L359" s="19">
        <f t="shared" ref="L359:L371" si="49">+L358-E359</f>
        <v>88289000</v>
      </c>
      <c r="M359" s="20"/>
      <c r="N359" s="20"/>
      <c r="P359" s="55"/>
      <c r="Q359" s="55"/>
      <c r="R359" s="14"/>
      <c r="S359" s="14"/>
    </row>
    <row r="360" spans="2:19" ht="12.95" hidden="1" customHeight="1" x14ac:dyDescent="0.25">
      <c r="B360" s="16">
        <v>42513</v>
      </c>
      <c r="C360" s="50" t="s">
        <v>356</v>
      </c>
      <c r="D360" s="34"/>
      <c r="E360" s="34">
        <v>8034000</v>
      </c>
      <c r="F360" s="18">
        <v>0</v>
      </c>
      <c r="G360" s="18">
        <f t="shared" si="47"/>
        <v>8034000</v>
      </c>
      <c r="H360" s="18">
        <v>0</v>
      </c>
      <c r="I360" s="18">
        <v>532433.48</v>
      </c>
      <c r="J360" s="18">
        <v>68761.08</v>
      </c>
      <c r="K360" s="18">
        <f t="shared" si="48"/>
        <v>7432805.4399999995</v>
      </c>
      <c r="L360" s="19">
        <f t="shared" si="49"/>
        <v>80255000</v>
      </c>
      <c r="M360" s="20"/>
      <c r="N360" s="20"/>
      <c r="P360" s="55"/>
      <c r="Q360" s="55"/>
      <c r="R360" s="14"/>
      <c r="S360" s="14"/>
    </row>
    <row r="361" spans="2:19" ht="12.95" hidden="1" customHeight="1" x14ac:dyDescent="0.25">
      <c r="B361" s="16">
        <v>42564</v>
      </c>
      <c r="C361" s="50" t="s">
        <v>357</v>
      </c>
      <c r="D361" s="34"/>
      <c r="E361" s="34">
        <v>8034000</v>
      </c>
      <c r="F361" s="18">
        <v>0</v>
      </c>
      <c r="G361" s="18">
        <f t="shared" si="47"/>
        <v>8034000</v>
      </c>
      <c r="H361" s="18">
        <v>0</v>
      </c>
      <c r="I361" s="18">
        <v>539182.05000000005</v>
      </c>
      <c r="J361" s="18">
        <v>68761.08</v>
      </c>
      <c r="K361" s="18">
        <f t="shared" si="48"/>
        <v>7426056.8700000001</v>
      </c>
      <c r="L361" s="19">
        <f t="shared" si="49"/>
        <v>72221000</v>
      </c>
      <c r="M361" s="20"/>
      <c r="N361" s="20"/>
      <c r="P361" s="55"/>
      <c r="Q361" s="55"/>
      <c r="R361" s="14"/>
      <c r="S361" s="14"/>
    </row>
    <row r="362" spans="2:19" ht="12.95" hidden="1" customHeight="1" x14ac:dyDescent="0.25">
      <c r="B362" s="16">
        <v>42584</v>
      </c>
      <c r="C362" s="50" t="s">
        <v>358</v>
      </c>
      <c r="D362" s="34"/>
      <c r="E362" s="34">
        <v>8034000</v>
      </c>
      <c r="F362" s="18">
        <v>0</v>
      </c>
      <c r="G362" s="18">
        <f t="shared" si="47"/>
        <v>8034000</v>
      </c>
      <c r="H362" s="18">
        <v>0</v>
      </c>
      <c r="I362" s="18">
        <v>539182.05000000005</v>
      </c>
      <c r="J362" s="18">
        <v>68761.08</v>
      </c>
      <c r="K362" s="18">
        <f t="shared" si="48"/>
        <v>7426056.8700000001</v>
      </c>
      <c r="L362" s="19">
        <f t="shared" si="49"/>
        <v>64187000</v>
      </c>
      <c r="M362" s="20"/>
      <c r="N362" s="20"/>
      <c r="P362" s="55"/>
      <c r="Q362" s="55"/>
      <c r="R362" s="14"/>
      <c r="S362" s="14"/>
    </row>
    <row r="363" spans="2:19" ht="12.95" hidden="1" customHeight="1" x14ac:dyDescent="0.25">
      <c r="B363" s="16">
        <v>42615</v>
      </c>
      <c r="C363" s="50" t="s">
        <v>359</v>
      </c>
      <c r="D363" s="34"/>
      <c r="E363" s="34">
        <v>8034000</v>
      </c>
      <c r="F363" s="18">
        <v>0</v>
      </c>
      <c r="G363" s="18">
        <f t="shared" si="47"/>
        <v>8034000</v>
      </c>
      <c r="H363" s="18">
        <v>0</v>
      </c>
      <c r="I363" s="18">
        <v>539182.05000000005</v>
      </c>
      <c r="J363" s="18">
        <v>68761.08</v>
      </c>
      <c r="K363" s="18">
        <f t="shared" si="48"/>
        <v>7426056.8700000001</v>
      </c>
      <c r="L363" s="19">
        <f t="shared" si="49"/>
        <v>56153000</v>
      </c>
      <c r="M363" s="20"/>
      <c r="N363" s="20"/>
      <c r="P363" s="55"/>
      <c r="Q363" s="55"/>
      <c r="R363" s="14"/>
      <c r="S363" s="14"/>
    </row>
    <row r="364" spans="2:19" ht="12.95" hidden="1" customHeight="1" x14ac:dyDescent="0.25">
      <c r="B364" s="16">
        <v>42646</v>
      </c>
      <c r="C364" s="50" t="s">
        <v>360</v>
      </c>
      <c r="D364" s="34"/>
      <c r="E364" s="34">
        <v>8034000</v>
      </c>
      <c r="F364" s="18">
        <v>0</v>
      </c>
      <c r="G364" s="18">
        <f t="shared" si="47"/>
        <v>8034000</v>
      </c>
      <c r="H364" s="18">
        <v>0</v>
      </c>
      <c r="I364" s="18">
        <v>1484390.02</v>
      </c>
      <c r="J364" s="18">
        <v>68761.08</v>
      </c>
      <c r="K364" s="18">
        <f t="shared" si="48"/>
        <v>6480848.9000000004</v>
      </c>
      <c r="L364" s="19">
        <f t="shared" si="49"/>
        <v>48119000</v>
      </c>
      <c r="M364" s="20"/>
      <c r="N364" s="20"/>
      <c r="P364" s="55"/>
      <c r="Q364" s="55"/>
      <c r="R364" s="14"/>
      <c r="S364" s="14"/>
    </row>
    <row r="365" spans="2:19" ht="12.95" hidden="1" customHeight="1" x14ac:dyDescent="0.25">
      <c r="B365" s="16">
        <v>42683</v>
      </c>
      <c r="C365" s="50" t="s">
        <v>361</v>
      </c>
      <c r="D365" s="34"/>
      <c r="E365" s="34">
        <v>8034000</v>
      </c>
      <c r="F365" s="55"/>
      <c r="G365" s="18">
        <f t="shared" si="47"/>
        <v>8034000</v>
      </c>
      <c r="H365" s="18">
        <v>0</v>
      </c>
      <c r="I365" s="18">
        <v>539182.05000000005</v>
      </c>
      <c r="J365" s="18">
        <v>68761.08</v>
      </c>
      <c r="K365" s="18">
        <f t="shared" si="48"/>
        <v>7426056.8700000001</v>
      </c>
      <c r="L365" s="19">
        <f t="shared" si="49"/>
        <v>40085000</v>
      </c>
      <c r="M365" s="20"/>
      <c r="N365" s="20"/>
      <c r="P365" s="55"/>
      <c r="Q365" s="55"/>
      <c r="R365" s="14"/>
      <c r="S365" s="14"/>
    </row>
    <row r="366" spans="2:19" ht="12.95" hidden="1" customHeight="1" x14ac:dyDescent="0.25">
      <c r="B366" s="16">
        <v>42695</v>
      </c>
      <c r="C366" s="50" t="s">
        <v>362</v>
      </c>
      <c r="D366" s="34"/>
      <c r="E366" s="34">
        <v>2645458</v>
      </c>
      <c r="F366" s="18">
        <v>0</v>
      </c>
      <c r="G366" s="18">
        <f t="shared" si="47"/>
        <v>2645458</v>
      </c>
      <c r="H366" s="18">
        <v>0</v>
      </c>
      <c r="I366" s="18">
        <v>0</v>
      </c>
      <c r="J366" s="18">
        <v>0</v>
      </c>
      <c r="K366" s="18">
        <f t="shared" si="48"/>
        <v>2645458</v>
      </c>
      <c r="L366" s="19">
        <f t="shared" si="49"/>
        <v>37439542</v>
      </c>
      <c r="M366" s="20"/>
      <c r="N366" s="20"/>
      <c r="P366" s="55"/>
      <c r="Q366" s="55"/>
      <c r="R366" s="14"/>
      <c r="S366" s="14"/>
    </row>
    <row r="367" spans="2:19" ht="12.95" hidden="1" customHeight="1" x14ac:dyDescent="0.25">
      <c r="B367" s="16">
        <v>42716</v>
      </c>
      <c r="C367" s="50" t="s">
        <v>363</v>
      </c>
      <c r="D367" s="34"/>
      <c r="E367" s="34">
        <v>8034000</v>
      </c>
      <c r="F367" s="18">
        <v>0</v>
      </c>
      <c r="G367" s="18">
        <f t="shared" si="47"/>
        <v>8034000</v>
      </c>
      <c r="H367" s="18">
        <v>0</v>
      </c>
      <c r="I367" s="18">
        <v>539182.05000000005</v>
      </c>
      <c r="J367" s="18">
        <v>68761.08</v>
      </c>
      <c r="K367" s="18">
        <f t="shared" si="48"/>
        <v>7426056.8700000001</v>
      </c>
      <c r="L367" s="19">
        <f t="shared" si="49"/>
        <v>29405542</v>
      </c>
      <c r="M367" s="20"/>
      <c r="N367" s="20"/>
      <c r="P367" s="55"/>
      <c r="Q367" s="55"/>
      <c r="R367" s="14"/>
      <c r="S367" s="14"/>
    </row>
    <row r="368" spans="2:19" ht="12.95" hidden="1" customHeight="1" x14ac:dyDescent="0.25">
      <c r="B368" s="16">
        <v>42741</v>
      </c>
      <c r="C368" s="50" t="s">
        <v>364</v>
      </c>
      <c r="D368" s="34"/>
      <c r="E368" s="34">
        <v>8034000</v>
      </c>
      <c r="F368" s="18">
        <v>0</v>
      </c>
      <c r="G368" s="18">
        <f t="shared" si="47"/>
        <v>8034000</v>
      </c>
      <c r="H368" s="18">
        <v>0</v>
      </c>
      <c r="I368" s="18">
        <v>471790.02</v>
      </c>
      <c r="J368" s="18">
        <v>68761.08</v>
      </c>
      <c r="K368" s="18">
        <f t="shared" si="48"/>
        <v>7493448.9000000004</v>
      </c>
      <c r="L368" s="19">
        <f t="shared" si="49"/>
        <v>21371542</v>
      </c>
      <c r="M368" s="20"/>
      <c r="N368" s="20"/>
      <c r="P368" s="55"/>
      <c r="Q368" s="55"/>
      <c r="R368" s="14"/>
      <c r="S368" s="14"/>
    </row>
    <row r="369" spans="2:19" ht="12.95" hidden="1" customHeight="1" x14ac:dyDescent="0.25">
      <c r="B369" s="16">
        <v>42762</v>
      </c>
      <c r="C369" s="50" t="s">
        <v>365</v>
      </c>
      <c r="D369" s="34"/>
      <c r="E369" s="34">
        <v>3544610</v>
      </c>
      <c r="F369" s="18">
        <v>0</v>
      </c>
      <c r="G369" s="18">
        <f t="shared" si="47"/>
        <v>3544610</v>
      </c>
      <c r="H369" s="18">
        <v>0</v>
      </c>
      <c r="I369" s="18">
        <v>0</v>
      </c>
      <c r="J369" s="18">
        <v>0</v>
      </c>
      <c r="K369" s="18">
        <f t="shared" si="48"/>
        <v>3544610</v>
      </c>
      <c r="L369" s="19">
        <f t="shared" si="49"/>
        <v>17826932</v>
      </c>
      <c r="M369" s="20"/>
      <c r="N369" s="20"/>
      <c r="P369" s="55"/>
      <c r="Q369" s="55"/>
      <c r="R369" s="14"/>
      <c r="S369" s="14"/>
    </row>
    <row r="370" spans="2:19" ht="12.95" hidden="1" customHeight="1" x14ac:dyDescent="0.25">
      <c r="B370" s="16">
        <v>42761</v>
      </c>
      <c r="C370" s="50" t="s">
        <v>366</v>
      </c>
      <c r="D370" s="34"/>
      <c r="E370" s="34">
        <v>4017000</v>
      </c>
      <c r="F370" s="18">
        <v>0</v>
      </c>
      <c r="G370" s="18">
        <f t="shared" si="47"/>
        <v>4017000</v>
      </c>
      <c r="H370" s="18">
        <v>0</v>
      </c>
      <c r="I370" s="18">
        <v>743875.03</v>
      </c>
      <c r="J370" s="18">
        <v>34380.54</v>
      </c>
      <c r="K370" s="18">
        <f t="shared" si="48"/>
        <v>3238744.4299999997</v>
      </c>
      <c r="L370" s="19">
        <f t="shared" si="49"/>
        <v>13809932</v>
      </c>
      <c r="M370" s="20"/>
      <c r="N370" s="20"/>
      <c r="P370" s="55"/>
      <c r="Q370" s="55"/>
      <c r="R370" s="14"/>
      <c r="S370" s="14"/>
    </row>
    <row r="371" spans="2:19" ht="12.95" hidden="1" customHeight="1" x14ac:dyDescent="0.25">
      <c r="B371" s="16">
        <v>42761</v>
      </c>
      <c r="C371" s="50" t="s">
        <v>24</v>
      </c>
      <c r="D371" s="34"/>
      <c r="E371" s="34">
        <v>13809932</v>
      </c>
      <c r="F371" s="18">
        <v>0</v>
      </c>
      <c r="G371" s="18">
        <f t="shared" si="47"/>
        <v>13809932</v>
      </c>
      <c r="H371" s="18"/>
      <c r="I371" s="18">
        <v>0</v>
      </c>
      <c r="J371" s="18">
        <v>0</v>
      </c>
      <c r="K371" s="18">
        <f t="shared" si="48"/>
        <v>13809932</v>
      </c>
      <c r="L371" s="19">
        <f t="shared" si="49"/>
        <v>0</v>
      </c>
      <c r="M371" s="20"/>
      <c r="N371" s="20"/>
      <c r="P371" s="55"/>
      <c r="Q371" s="55"/>
      <c r="R371" s="14"/>
      <c r="S371" s="14"/>
    </row>
    <row r="372" spans="2:19" ht="12.75" hidden="1" customHeight="1" x14ac:dyDescent="0.25">
      <c r="B372" s="9" t="s">
        <v>367</v>
      </c>
      <c r="C372" s="10"/>
      <c r="D372" s="10">
        <v>76323000</v>
      </c>
      <c r="E372" s="11">
        <f>+D372</f>
        <v>76323000</v>
      </c>
      <c r="F372" s="11"/>
      <c r="G372" s="11"/>
      <c r="H372" s="11"/>
      <c r="I372" s="11"/>
      <c r="J372" s="11"/>
      <c r="K372" s="11"/>
      <c r="L372" s="11">
        <f>+D372</f>
        <v>76323000</v>
      </c>
      <c r="M372" s="12"/>
      <c r="N372" s="12"/>
      <c r="P372" s="55"/>
      <c r="Q372" s="55"/>
      <c r="R372" s="14"/>
      <c r="S372" s="14"/>
    </row>
    <row r="373" spans="2:19" ht="12.95" hidden="1" customHeight="1" x14ac:dyDescent="0.25">
      <c r="B373" s="16">
        <v>42502</v>
      </c>
      <c r="C373" s="36" t="s">
        <v>368</v>
      </c>
      <c r="D373" s="34"/>
      <c r="E373" s="49">
        <v>8034000</v>
      </c>
      <c r="F373" s="18"/>
      <c r="G373" s="49">
        <f t="shared" ref="G373:G382" si="50">+E373</f>
        <v>8034000</v>
      </c>
      <c r="H373" s="37">
        <v>0</v>
      </c>
      <c r="I373" s="24">
        <v>647158.99</v>
      </c>
      <c r="J373" s="49">
        <v>73728.02</v>
      </c>
      <c r="K373" s="18">
        <f t="shared" ref="K373:K382" si="51">+G373-H373-I373-J373</f>
        <v>7313112.9900000002</v>
      </c>
      <c r="L373" s="19">
        <f t="shared" ref="L373:L382" si="52">+L372-G373</f>
        <v>68289000</v>
      </c>
      <c r="M373" s="20"/>
      <c r="N373" s="20"/>
      <c r="P373" s="55"/>
      <c r="Q373" s="55"/>
      <c r="R373" s="14"/>
      <c r="S373" s="14"/>
    </row>
    <row r="374" spans="2:19" ht="12.95" hidden="1" customHeight="1" x14ac:dyDescent="0.25">
      <c r="B374" s="16">
        <v>42516</v>
      </c>
      <c r="C374" s="50" t="s">
        <v>369</v>
      </c>
      <c r="D374" s="34"/>
      <c r="E374" s="49">
        <v>8034000</v>
      </c>
      <c r="F374" s="18"/>
      <c r="G374" s="49">
        <f t="shared" si="50"/>
        <v>8034000</v>
      </c>
      <c r="H374" s="37">
        <v>0</v>
      </c>
      <c r="I374" s="24">
        <v>1644972.11</v>
      </c>
      <c r="J374" s="49">
        <v>73728.02</v>
      </c>
      <c r="K374" s="18">
        <f t="shared" si="51"/>
        <v>6315299.8700000001</v>
      </c>
      <c r="L374" s="19">
        <f t="shared" si="52"/>
        <v>60255000</v>
      </c>
      <c r="M374" s="20"/>
      <c r="N374" s="20"/>
      <c r="P374" s="55"/>
      <c r="Q374" s="55"/>
      <c r="R374" s="14"/>
      <c r="S374" s="14"/>
    </row>
    <row r="375" spans="2:19" ht="12.95" hidden="1" customHeight="1" x14ac:dyDescent="0.25">
      <c r="B375" s="16">
        <v>42590</v>
      </c>
      <c r="C375" s="50" t="s">
        <v>370</v>
      </c>
      <c r="D375" s="34"/>
      <c r="E375" s="49">
        <v>8034000</v>
      </c>
      <c r="F375" s="18"/>
      <c r="G375" s="49">
        <f t="shared" si="50"/>
        <v>8034000</v>
      </c>
      <c r="H375" s="37">
        <v>0</v>
      </c>
      <c r="I375" s="24">
        <v>547188.91</v>
      </c>
      <c r="J375" s="49">
        <v>73728.02</v>
      </c>
      <c r="K375" s="18">
        <f t="shared" si="51"/>
        <v>7413083.0700000003</v>
      </c>
      <c r="L375" s="19">
        <f t="shared" si="52"/>
        <v>52221000</v>
      </c>
      <c r="M375" s="20"/>
      <c r="N375" s="20"/>
      <c r="P375" s="55"/>
      <c r="Q375" s="55"/>
      <c r="R375" s="14"/>
      <c r="S375" s="14"/>
    </row>
    <row r="376" spans="2:19" ht="12.95" hidden="1" customHeight="1" x14ac:dyDescent="0.25">
      <c r="B376" s="67">
        <v>42625</v>
      </c>
      <c r="C376" s="50" t="s">
        <v>371</v>
      </c>
      <c r="D376" s="34"/>
      <c r="E376" s="49">
        <v>8034000</v>
      </c>
      <c r="F376" s="18"/>
      <c r="G376" s="49">
        <f t="shared" si="50"/>
        <v>8034000</v>
      </c>
      <c r="H376" s="37"/>
      <c r="I376" s="24">
        <v>647158.99</v>
      </c>
      <c r="J376" s="49">
        <v>73728.02</v>
      </c>
      <c r="K376" s="18">
        <f t="shared" si="51"/>
        <v>7313112.9900000002</v>
      </c>
      <c r="L376" s="19">
        <f t="shared" si="52"/>
        <v>44187000</v>
      </c>
      <c r="M376" s="20"/>
      <c r="N376" s="20"/>
      <c r="P376" s="55"/>
      <c r="Q376" s="55"/>
      <c r="R376" s="14"/>
      <c r="S376" s="14"/>
    </row>
    <row r="377" spans="2:19" ht="12.95" hidden="1" customHeight="1" x14ac:dyDescent="0.25">
      <c r="B377" s="67">
        <v>42635</v>
      </c>
      <c r="C377" s="50" t="s">
        <v>372</v>
      </c>
      <c r="D377" s="34"/>
      <c r="E377" s="49">
        <v>8034000</v>
      </c>
      <c r="F377" s="18"/>
      <c r="G377" s="49">
        <f t="shared" si="50"/>
        <v>8034000</v>
      </c>
      <c r="H377" s="37"/>
      <c r="I377" s="24">
        <v>1640814.1</v>
      </c>
      <c r="J377" s="49">
        <v>73728.02</v>
      </c>
      <c r="K377" s="18">
        <f t="shared" si="51"/>
        <v>6319457.8800000008</v>
      </c>
      <c r="L377" s="19">
        <f t="shared" si="52"/>
        <v>36153000</v>
      </c>
      <c r="M377" s="20"/>
      <c r="N377" s="20"/>
      <c r="P377" s="55"/>
      <c r="Q377" s="55"/>
      <c r="R377" s="14"/>
      <c r="S377" s="14"/>
    </row>
    <row r="378" spans="2:19" ht="12.95" hidden="1" customHeight="1" x14ac:dyDescent="0.25">
      <c r="B378" s="16">
        <v>42684</v>
      </c>
      <c r="C378" s="50" t="s">
        <v>373</v>
      </c>
      <c r="D378" s="34"/>
      <c r="E378" s="49">
        <v>8034000</v>
      </c>
      <c r="F378" s="18"/>
      <c r="G378" s="49">
        <f t="shared" si="50"/>
        <v>8034000</v>
      </c>
      <c r="H378" s="37"/>
      <c r="I378" s="24">
        <v>647158.99</v>
      </c>
      <c r="J378" s="49">
        <v>73728.02</v>
      </c>
      <c r="K378" s="18">
        <f t="shared" si="51"/>
        <v>7313112.9900000002</v>
      </c>
      <c r="L378" s="19">
        <f t="shared" si="52"/>
        <v>28119000</v>
      </c>
      <c r="M378" s="20"/>
      <c r="N378" s="20"/>
      <c r="P378" s="55"/>
      <c r="Q378" s="55"/>
      <c r="R378" s="14"/>
      <c r="S378" s="14"/>
    </row>
    <row r="379" spans="2:19" ht="12.95" hidden="1" customHeight="1" x14ac:dyDescent="0.25">
      <c r="B379" s="16">
        <v>42703</v>
      </c>
      <c r="C379" s="50" t="s">
        <v>374</v>
      </c>
      <c r="D379" s="34"/>
      <c r="E379" s="49">
        <v>8034000</v>
      </c>
      <c r="F379" s="18"/>
      <c r="G379" s="49">
        <f t="shared" si="50"/>
        <v>8034000</v>
      </c>
      <c r="H379" s="37"/>
      <c r="I379" s="24">
        <v>1522992.22</v>
      </c>
      <c r="J379" s="49">
        <v>73728.02</v>
      </c>
      <c r="K379" s="18">
        <f t="shared" si="51"/>
        <v>6437279.7600000007</v>
      </c>
      <c r="L379" s="19">
        <f t="shared" si="52"/>
        <v>20085000</v>
      </c>
      <c r="M379" s="20"/>
      <c r="N379" s="20"/>
      <c r="P379" s="55"/>
      <c r="Q379" s="55"/>
      <c r="R379" s="14"/>
      <c r="S379" s="14"/>
    </row>
    <row r="380" spans="2:19" ht="12.95" hidden="1" customHeight="1" x14ac:dyDescent="0.25">
      <c r="B380" s="16">
        <v>42725</v>
      </c>
      <c r="C380" s="50" t="s">
        <v>375</v>
      </c>
      <c r="D380" s="34"/>
      <c r="E380" s="49">
        <v>8034000</v>
      </c>
      <c r="F380" s="18"/>
      <c r="G380" s="49">
        <f t="shared" si="50"/>
        <v>8034000</v>
      </c>
      <c r="H380" s="37"/>
      <c r="I380" s="24">
        <v>547188.91</v>
      </c>
      <c r="J380" s="49">
        <v>73728.02</v>
      </c>
      <c r="K380" s="18">
        <f t="shared" si="51"/>
        <v>7413083.0700000003</v>
      </c>
      <c r="L380" s="19">
        <f t="shared" si="52"/>
        <v>12051000</v>
      </c>
      <c r="M380" s="20"/>
      <c r="N380" s="20"/>
      <c r="P380" s="55"/>
      <c r="Q380" s="55"/>
      <c r="R380" s="14"/>
      <c r="S380" s="14"/>
    </row>
    <row r="381" spans="2:19" ht="12.95" hidden="1" customHeight="1" x14ac:dyDescent="0.25">
      <c r="B381" s="16">
        <v>42741</v>
      </c>
      <c r="C381" s="50" t="s">
        <v>376</v>
      </c>
      <c r="D381" s="34"/>
      <c r="E381" s="49">
        <v>8034000</v>
      </c>
      <c r="F381" s="18"/>
      <c r="G381" s="49">
        <f t="shared" si="50"/>
        <v>8034000</v>
      </c>
      <c r="H381" s="37"/>
      <c r="I381" s="24">
        <v>579766.99</v>
      </c>
      <c r="J381" s="49">
        <v>73728.02</v>
      </c>
      <c r="K381" s="18">
        <f t="shared" si="51"/>
        <v>7380504.9900000002</v>
      </c>
      <c r="L381" s="19">
        <f t="shared" si="52"/>
        <v>4017000</v>
      </c>
      <c r="M381" s="20"/>
      <c r="N381" s="20"/>
      <c r="P381" s="55"/>
      <c r="Q381" s="55"/>
      <c r="R381" s="14"/>
      <c r="S381" s="14"/>
    </row>
    <row r="382" spans="2:19" ht="12.95" hidden="1" customHeight="1" x14ac:dyDescent="0.25">
      <c r="B382" s="68">
        <v>42766</v>
      </c>
      <c r="C382" s="69" t="s">
        <v>377</v>
      </c>
      <c r="D382" s="70"/>
      <c r="E382" s="71">
        <v>4017000</v>
      </c>
      <c r="F382" s="72"/>
      <c r="G382" s="71">
        <f t="shared" si="50"/>
        <v>4017000</v>
      </c>
      <c r="H382" s="73"/>
      <c r="I382" s="74">
        <v>690817.27</v>
      </c>
      <c r="J382" s="71">
        <v>36864.01</v>
      </c>
      <c r="K382" s="72">
        <f t="shared" si="51"/>
        <v>3289318.72</v>
      </c>
      <c r="L382" s="65">
        <f t="shared" si="52"/>
        <v>0</v>
      </c>
      <c r="M382" s="20"/>
      <c r="N382" s="20"/>
      <c r="P382" s="55"/>
      <c r="Q382" s="55"/>
      <c r="R382" s="14"/>
      <c r="S382" s="14"/>
    </row>
    <row r="383" spans="2:19" ht="12.95" hidden="1" customHeight="1" x14ac:dyDescent="0.25">
      <c r="B383" s="46" t="s">
        <v>378</v>
      </c>
      <c r="C383" s="47"/>
      <c r="D383" s="47">
        <v>91025220</v>
      </c>
      <c r="E383" s="48">
        <f>+D383</f>
        <v>91025220</v>
      </c>
      <c r="F383" s="48"/>
      <c r="G383" s="48"/>
      <c r="H383" s="48"/>
      <c r="I383" s="48"/>
      <c r="J383" s="48"/>
      <c r="K383" s="48"/>
      <c r="L383" s="48">
        <f>+D383</f>
        <v>91025220</v>
      </c>
      <c r="M383" s="12"/>
      <c r="N383" s="12"/>
      <c r="P383" s="55"/>
      <c r="Q383" s="55"/>
      <c r="R383" s="14"/>
      <c r="S383" s="14"/>
    </row>
    <row r="384" spans="2:19" ht="12.95" hidden="1" customHeight="1" x14ac:dyDescent="0.25">
      <c r="B384" s="16">
        <v>42514</v>
      </c>
      <c r="C384" s="50" t="s">
        <v>379</v>
      </c>
      <c r="D384" s="34"/>
      <c r="E384" s="18">
        <v>8275020</v>
      </c>
      <c r="F384" s="18"/>
      <c r="G384" s="18">
        <f t="shared" ref="G384:G395" si="53">+E384</f>
        <v>8275020</v>
      </c>
      <c r="H384" s="18">
        <v>171207.3</v>
      </c>
      <c r="I384" s="18">
        <v>1324239.68</v>
      </c>
      <c r="J384" s="18">
        <v>61055.1</v>
      </c>
      <c r="K384" s="18">
        <f t="shared" ref="K384:K395" si="54">+G384-H384-I384-J384</f>
        <v>6718517.9200000009</v>
      </c>
      <c r="L384" s="19">
        <f t="shared" ref="L384:L395" si="55">+L383-G384</f>
        <v>82750200</v>
      </c>
      <c r="M384" s="20"/>
      <c r="N384" s="20"/>
      <c r="P384" s="55"/>
      <c r="Q384" s="55"/>
      <c r="R384" s="14"/>
      <c r="S384" s="14"/>
    </row>
    <row r="385" spans="2:19" ht="12.95" hidden="1" customHeight="1" x14ac:dyDescent="0.25">
      <c r="B385" s="16">
        <v>42514</v>
      </c>
      <c r="C385" s="36" t="s">
        <v>380</v>
      </c>
      <c r="D385" s="34"/>
      <c r="E385" s="18">
        <v>8275020</v>
      </c>
      <c r="F385" s="18"/>
      <c r="G385" s="18">
        <f t="shared" si="53"/>
        <v>8275020</v>
      </c>
      <c r="H385" s="18">
        <v>171207.3</v>
      </c>
      <c r="I385" s="18">
        <v>372143.68</v>
      </c>
      <c r="J385" s="18">
        <v>61055.1</v>
      </c>
      <c r="K385" s="18">
        <f t="shared" si="54"/>
        <v>7670613.9200000009</v>
      </c>
      <c r="L385" s="19">
        <f t="shared" si="55"/>
        <v>74475180</v>
      </c>
      <c r="M385" s="20"/>
      <c r="N385" s="20"/>
      <c r="P385" s="55"/>
      <c r="Q385" s="55"/>
      <c r="R385" s="14"/>
      <c r="S385" s="14"/>
    </row>
    <row r="386" spans="2:19" ht="12.95" hidden="1" customHeight="1" x14ac:dyDescent="0.25">
      <c r="B386" s="16">
        <v>42584</v>
      </c>
      <c r="C386" s="50" t="s">
        <v>381</v>
      </c>
      <c r="D386" s="34"/>
      <c r="E386" s="18">
        <v>8275020</v>
      </c>
      <c r="F386" s="18"/>
      <c r="G386" s="18">
        <f t="shared" si="53"/>
        <v>8275020</v>
      </c>
      <c r="H386" s="18">
        <v>171207.3</v>
      </c>
      <c r="I386" s="18">
        <v>372059.69</v>
      </c>
      <c r="J386" s="18">
        <v>61055.1</v>
      </c>
      <c r="K386" s="18">
        <f t="shared" si="54"/>
        <v>7670697.9100000001</v>
      </c>
      <c r="L386" s="19">
        <f t="shared" si="55"/>
        <v>66200160</v>
      </c>
      <c r="M386" s="20"/>
      <c r="N386" s="20"/>
      <c r="P386" s="55"/>
      <c r="Q386" s="55"/>
      <c r="R386" s="14"/>
      <c r="S386" s="14"/>
    </row>
    <row r="387" spans="2:19" ht="12.95" hidden="1" customHeight="1" x14ac:dyDescent="0.25">
      <c r="B387" s="16">
        <v>42584</v>
      </c>
      <c r="C387" s="50" t="s">
        <v>382</v>
      </c>
      <c r="D387" s="34"/>
      <c r="E387" s="18">
        <v>8275020</v>
      </c>
      <c r="F387" s="18"/>
      <c r="G387" s="18">
        <f t="shared" si="53"/>
        <v>8275020</v>
      </c>
      <c r="H387" s="18">
        <v>171207.3</v>
      </c>
      <c r="I387" s="18">
        <v>1324155.69</v>
      </c>
      <c r="J387" s="18">
        <v>61055.1</v>
      </c>
      <c r="K387" s="18">
        <f t="shared" si="54"/>
        <v>6718601.9100000001</v>
      </c>
      <c r="L387" s="19">
        <f t="shared" si="55"/>
        <v>57925140</v>
      </c>
      <c r="M387" s="20"/>
      <c r="N387" s="20"/>
      <c r="P387" s="55"/>
      <c r="Q387" s="55"/>
      <c r="R387" s="14"/>
      <c r="S387" s="14"/>
    </row>
    <row r="388" spans="2:19" ht="12.95" hidden="1" customHeight="1" x14ac:dyDescent="0.25">
      <c r="B388" s="16">
        <v>42615</v>
      </c>
      <c r="C388" s="50" t="s">
        <v>383</v>
      </c>
      <c r="D388" s="34"/>
      <c r="E388" s="18">
        <v>8275020</v>
      </c>
      <c r="F388" s="18"/>
      <c r="G388" s="18">
        <f t="shared" si="53"/>
        <v>8275020</v>
      </c>
      <c r="H388" s="18">
        <v>171207.3</v>
      </c>
      <c r="I388" s="18">
        <v>1324155.69</v>
      </c>
      <c r="J388" s="18">
        <v>61055.1</v>
      </c>
      <c r="K388" s="18">
        <f t="shared" si="54"/>
        <v>6718601.9100000001</v>
      </c>
      <c r="L388" s="19">
        <f t="shared" si="55"/>
        <v>49650120</v>
      </c>
      <c r="M388" s="20"/>
      <c r="N388" s="20"/>
      <c r="P388" s="55"/>
      <c r="Q388" s="55"/>
      <c r="R388" s="14"/>
      <c r="S388" s="14"/>
    </row>
    <row r="389" spans="2:19" ht="12.95" hidden="1" customHeight="1" x14ac:dyDescent="0.25">
      <c r="B389" s="16">
        <v>42615</v>
      </c>
      <c r="C389" s="50" t="s">
        <v>384</v>
      </c>
      <c r="D389" s="34"/>
      <c r="E389" s="18">
        <v>8275020</v>
      </c>
      <c r="F389" s="18"/>
      <c r="G389" s="18">
        <f t="shared" si="53"/>
        <v>8275020</v>
      </c>
      <c r="H389" s="18">
        <v>171207.3</v>
      </c>
      <c r="I389" s="18">
        <v>372059.69</v>
      </c>
      <c r="J389" s="18">
        <v>61055.1</v>
      </c>
      <c r="K389" s="18">
        <f t="shared" si="54"/>
        <v>7670697.9100000001</v>
      </c>
      <c r="L389" s="19">
        <f t="shared" si="55"/>
        <v>41375100</v>
      </c>
      <c r="M389" s="20"/>
      <c r="N389" s="20"/>
      <c r="P389" s="55"/>
      <c r="Q389" s="55"/>
      <c r="R389" s="14"/>
      <c r="S389" s="14"/>
    </row>
    <row r="390" spans="2:19" ht="12.95" hidden="1" customHeight="1" x14ac:dyDescent="0.25">
      <c r="B390" s="16">
        <v>42661</v>
      </c>
      <c r="C390" s="50" t="s">
        <v>385</v>
      </c>
      <c r="D390" s="34"/>
      <c r="E390" s="18">
        <v>8275020</v>
      </c>
      <c r="F390" s="18"/>
      <c r="G390" s="18">
        <f t="shared" si="53"/>
        <v>8275020</v>
      </c>
      <c r="H390" s="18">
        <v>171207.3</v>
      </c>
      <c r="I390" s="18">
        <v>372059.69</v>
      </c>
      <c r="J390" s="18">
        <v>61055.1</v>
      </c>
      <c r="K390" s="18">
        <f t="shared" si="54"/>
        <v>7670697.9100000001</v>
      </c>
      <c r="L390" s="19">
        <f t="shared" si="55"/>
        <v>33100080</v>
      </c>
      <c r="M390" s="20"/>
      <c r="N390" s="20"/>
      <c r="P390" s="55"/>
      <c r="Q390" s="55"/>
      <c r="R390" s="14"/>
      <c r="S390" s="14"/>
    </row>
    <row r="391" spans="2:19" ht="12.95" hidden="1" customHeight="1" x14ac:dyDescent="0.25">
      <c r="B391" s="16">
        <v>42667</v>
      </c>
      <c r="C391" s="50" t="s">
        <v>386</v>
      </c>
      <c r="D391" s="34"/>
      <c r="E391" s="18">
        <v>8275020</v>
      </c>
      <c r="F391" s="18"/>
      <c r="G391" s="18">
        <f t="shared" si="53"/>
        <v>8275020</v>
      </c>
      <c r="H391" s="18">
        <v>171207.3</v>
      </c>
      <c r="I391" s="18">
        <v>1324155.69</v>
      </c>
      <c r="J391" s="18">
        <v>61055.1</v>
      </c>
      <c r="K391" s="18">
        <f t="shared" si="54"/>
        <v>6718601.9100000001</v>
      </c>
      <c r="L391" s="19">
        <f t="shared" si="55"/>
        <v>24825060</v>
      </c>
      <c r="M391" s="20"/>
      <c r="N391" s="20"/>
      <c r="P391" s="55"/>
      <c r="Q391" s="55"/>
      <c r="R391" s="14"/>
      <c r="S391" s="14"/>
    </row>
    <row r="392" spans="2:19" ht="12.95" hidden="1" customHeight="1" x14ac:dyDescent="0.25">
      <c r="B392" s="16">
        <v>42703</v>
      </c>
      <c r="C392" s="50" t="s">
        <v>387</v>
      </c>
      <c r="D392" s="34"/>
      <c r="E392" s="18">
        <v>8275020</v>
      </c>
      <c r="F392" s="18"/>
      <c r="G392" s="18">
        <f t="shared" si="53"/>
        <v>8275020</v>
      </c>
      <c r="H392" s="18">
        <v>171207.3</v>
      </c>
      <c r="I392" s="18">
        <v>372059.69</v>
      </c>
      <c r="J392" s="18">
        <v>61055.1</v>
      </c>
      <c r="K392" s="18">
        <f t="shared" si="54"/>
        <v>7670697.9100000001</v>
      </c>
      <c r="L392" s="19">
        <f t="shared" si="55"/>
        <v>16550040</v>
      </c>
      <c r="M392" s="20"/>
      <c r="N392" s="20"/>
      <c r="P392" s="55"/>
      <c r="Q392" s="55"/>
      <c r="R392" s="14"/>
      <c r="S392" s="14"/>
    </row>
    <row r="393" spans="2:19" ht="12.95" hidden="1" customHeight="1" x14ac:dyDescent="0.25">
      <c r="B393" s="16">
        <v>42733</v>
      </c>
      <c r="C393" s="50" t="s">
        <v>388</v>
      </c>
      <c r="D393" s="34"/>
      <c r="E393" s="18">
        <v>8275020</v>
      </c>
      <c r="F393" s="18"/>
      <c r="G393" s="18">
        <f t="shared" si="53"/>
        <v>8275020</v>
      </c>
      <c r="H393" s="18">
        <v>171207.3</v>
      </c>
      <c r="I393" s="18">
        <v>372059.69</v>
      </c>
      <c r="J393" s="18">
        <v>61055.1</v>
      </c>
      <c r="K393" s="18">
        <f t="shared" si="54"/>
        <v>7670697.9100000001</v>
      </c>
      <c r="L393" s="19">
        <f t="shared" si="55"/>
        <v>8275020</v>
      </c>
      <c r="M393" s="20"/>
      <c r="N393" s="20"/>
      <c r="P393" s="55"/>
      <c r="Q393" s="55"/>
      <c r="R393" s="14"/>
      <c r="S393" s="14"/>
    </row>
    <row r="394" spans="2:19" ht="12.95" hidden="1" customHeight="1" x14ac:dyDescent="0.25">
      <c r="B394" s="16">
        <v>42761</v>
      </c>
      <c r="C394" s="50" t="s">
        <v>389</v>
      </c>
      <c r="D394" s="34"/>
      <c r="E394" s="18">
        <v>6344182</v>
      </c>
      <c r="F394" s="18"/>
      <c r="G394" s="18">
        <f t="shared" si="53"/>
        <v>6344182</v>
      </c>
      <c r="H394" s="18">
        <v>131259</v>
      </c>
      <c r="I394" s="18">
        <v>113325.81</v>
      </c>
      <c r="J394" s="18">
        <v>46808.9</v>
      </c>
      <c r="K394" s="18">
        <f t="shared" si="54"/>
        <v>6052788.29</v>
      </c>
      <c r="L394" s="19">
        <f t="shared" si="55"/>
        <v>1930838</v>
      </c>
      <c r="M394" s="20"/>
      <c r="N394" s="20"/>
      <c r="P394" s="55"/>
      <c r="Q394" s="55"/>
      <c r="R394" s="14"/>
      <c r="S394" s="14"/>
    </row>
    <row r="395" spans="2:19" ht="12.95" hidden="1" customHeight="1" x14ac:dyDescent="0.25">
      <c r="B395" s="16">
        <v>42761</v>
      </c>
      <c r="C395" s="50" t="s">
        <v>24</v>
      </c>
      <c r="D395" s="34"/>
      <c r="E395" s="18">
        <v>1930838</v>
      </c>
      <c r="F395" s="18"/>
      <c r="G395" s="18">
        <f t="shared" si="53"/>
        <v>1930838</v>
      </c>
      <c r="H395" s="18">
        <v>0</v>
      </c>
      <c r="I395" s="18">
        <v>0</v>
      </c>
      <c r="J395" s="18">
        <v>0</v>
      </c>
      <c r="K395" s="18">
        <f t="shared" si="54"/>
        <v>1930838</v>
      </c>
      <c r="L395" s="19">
        <f t="shared" si="55"/>
        <v>0</v>
      </c>
      <c r="M395" s="20"/>
      <c r="N395" s="20"/>
      <c r="P395" s="55"/>
      <c r="Q395" s="55"/>
      <c r="R395" s="14"/>
      <c r="S395" s="14"/>
    </row>
    <row r="396" spans="2:19" ht="12.95" hidden="1" customHeight="1" x14ac:dyDescent="0.25">
      <c r="B396" s="9" t="s">
        <v>390</v>
      </c>
      <c r="C396" s="10"/>
      <c r="D396" s="10">
        <v>69350000</v>
      </c>
      <c r="E396" s="11">
        <f>+D396</f>
        <v>69350000</v>
      </c>
      <c r="F396" s="11"/>
      <c r="G396" s="11"/>
      <c r="H396" s="11"/>
      <c r="I396" s="11"/>
      <c r="J396" s="11"/>
      <c r="K396" s="11"/>
      <c r="L396" s="11">
        <f>+D396</f>
        <v>69350000</v>
      </c>
      <c r="M396" s="12"/>
      <c r="N396" s="12"/>
      <c r="P396" s="55"/>
      <c r="Q396" s="55"/>
      <c r="R396" s="14"/>
      <c r="S396" s="14"/>
    </row>
    <row r="397" spans="2:19" ht="12.95" hidden="1" customHeight="1" x14ac:dyDescent="0.25">
      <c r="B397" s="16">
        <v>42516</v>
      </c>
      <c r="C397" s="50" t="s">
        <v>391</v>
      </c>
      <c r="D397" s="34"/>
      <c r="E397" s="18">
        <v>7300000</v>
      </c>
      <c r="F397" s="18"/>
      <c r="G397" s="18">
        <f>+E397</f>
        <v>7300000</v>
      </c>
      <c r="H397" s="18">
        <v>0</v>
      </c>
      <c r="I397" s="18">
        <v>278428.84000000003</v>
      </c>
      <c r="J397" s="18">
        <v>62478.95</v>
      </c>
      <c r="K397" s="18">
        <f>+G397-H397-I397-J397</f>
        <v>6959092.21</v>
      </c>
      <c r="L397" s="19">
        <f>+L396-G397</f>
        <v>62050000</v>
      </c>
      <c r="M397" s="20"/>
      <c r="N397" s="20"/>
      <c r="P397" s="55"/>
      <c r="Q397" s="55"/>
      <c r="R397" s="14"/>
      <c r="S397" s="14"/>
    </row>
    <row r="398" spans="2:19" ht="12.95" hidden="1" customHeight="1" x14ac:dyDescent="0.25">
      <c r="B398" s="16">
        <v>42564</v>
      </c>
      <c r="C398" s="50" t="s">
        <v>392</v>
      </c>
      <c r="D398" s="34"/>
      <c r="E398" s="18">
        <v>7300000</v>
      </c>
      <c r="F398" s="18"/>
      <c r="G398" s="18">
        <f>+E398</f>
        <v>7300000</v>
      </c>
      <c r="H398" s="18">
        <v>0</v>
      </c>
      <c r="I398" s="18">
        <v>62478.95</v>
      </c>
      <c r="J398" s="18">
        <v>274267.84999999998</v>
      </c>
      <c r="K398" s="18">
        <f>+G398-H398-I398-J398</f>
        <v>6963253.2000000002</v>
      </c>
      <c r="L398" s="19">
        <f>+L397-G398</f>
        <v>54750000</v>
      </c>
      <c r="M398" s="20"/>
      <c r="N398" s="20"/>
      <c r="P398" s="55"/>
      <c r="Q398" s="55"/>
      <c r="R398" s="14"/>
      <c r="S398" s="14"/>
    </row>
    <row r="399" spans="2:19" ht="12.95" hidden="1" customHeight="1" x14ac:dyDescent="0.25">
      <c r="B399" s="16">
        <v>42649</v>
      </c>
      <c r="C399" s="50" t="s">
        <v>393</v>
      </c>
      <c r="D399" s="34"/>
      <c r="E399" s="18">
        <v>7300000</v>
      </c>
      <c r="F399" s="18"/>
      <c r="G399" s="18">
        <f>+E399</f>
        <v>7300000</v>
      </c>
      <c r="H399" s="18">
        <v>0</v>
      </c>
      <c r="I399" s="18">
        <v>1506239.5</v>
      </c>
      <c r="J399" s="18">
        <v>62478.95</v>
      </c>
      <c r="K399" s="18">
        <f>+G399-H399-I399-J399</f>
        <v>5731281.5499999998</v>
      </c>
      <c r="L399" s="19">
        <f>+L398-G399</f>
        <v>47450000</v>
      </c>
      <c r="M399" s="20"/>
      <c r="N399" s="20"/>
      <c r="P399" s="55"/>
      <c r="Q399" s="55"/>
      <c r="R399" s="14"/>
      <c r="S399" s="14"/>
    </row>
    <row r="400" spans="2:19" ht="12.95" hidden="1" customHeight="1" x14ac:dyDescent="0.25">
      <c r="B400" s="16">
        <v>42649</v>
      </c>
      <c r="C400" s="50" t="s">
        <v>394</v>
      </c>
      <c r="D400" s="34"/>
      <c r="E400" s="18">
        <v>7300000</v>
      </c>
      <c r="F400" s="18"/>
      <c r="G400" s="18">
        <f>+E400</f>
        <v>7300000</v>
      </c>
      <c r="H400" s="18">
        <v>0</v>
      </c>
      <c r="I400" s="18">
        <v>1271524</v>
      </c>
      <c r="J400" s="18">
        <v>62478.95</v>
      </c>
      <c r="K400" s="18">
        <f>+G400-H400-I400-J400</f>
        <v>5965997.0499999998</v>
      </c>
      <c r="L400" s="19">
        <f>+L399-G400</f>
        <v>40150000</v>
      </c>
      <c r="M400" s="20"/>
      <c r="N400" s="20"/>
      <c r="P400" s="55"/>
      <c r="Q400" s="55"/>
      <c r="R400" s="14"/>
      <c r="S400" s="14"/>
    </row>
    <row r="401" spans="2:19" ht="12.95" hidden="1" customHeight="1" x14ac:dyDescent="0.25">
      <c r="B401" s="16">
        <v>42649</v>
      </c>
      <c r="C401" s="50" t="s">
        <v>395</v>
      </c>
      <c r="D401" s="34"/>
      <c r="E401" s="18">
        <v>7300000</v>
      </c>
      <c r="F401" s="18"/>
      <c r="G401" s="18">
        <f>+E401</f>
        <v>7300000</v>
      </c>
      <c r="H401" s="18">
        <v>0</v>
      </c>
      <c r="I401" s="18">
        <v>274267.84999999998</v>
      </c>
      <c r="J401" s="18">
        <v>62478.95</v>
      </c>
      <c r="K401" s="18">
        <f>+G401-H401-I401-J401</f>
        <v>6963253.2000000002</v>
      </c>
      <c r="L401" s="19">
        <f>+L400-G401</f>
        <v>32850000</v>
      </c>
      <c r="M401" s="20"/>
      <c r="N401" s="20"/>
      <c r="P401" s="55"/>
      <c r="Q401" s="55"/>
      <c r="R401" s="14"/>
      <c r="S401" s="14"/>
    </row>
    <row r="402" spans="2:19" ht="12.95" hidden="1" customHeight="1" x14ac:dyDescent="0.25">
      <c r="B402" s="9" t="s">
        <v>396</v>
      </c>
      <c r="C402" s="10"/>
      <c r="D402" s="10">
        <v>133218786</v>
      </c>
      <c r="E402" s="11">
        <f>+D402</f>
        <v>133218786</v>
      </c>
      <c r="F402" s="11"/>
      <c r="G402" s="11"/>
      <c r="H402" s="11"/>
      <c r="I402" s="11"/>
      <c r="J402" s="11"/>
      <c r="K402" s="11"/>
      <c r="L402" s="11">
        <f>+D402</f>
        <v>133218786</v>
      </c>
      <c r="M402" s="12"/>
      <c r="N402" s="12"/>
      <c r="P402" s="55"/>
      <c r="Q402" s="55"/>
      <c r="R402" s="14"/>
      <c r="S402" s="14"/>
    </row>
    <row r="403" spans="2:19" ht="12.95" hidden="1" customHeight="1" x14ac:dyDescent="0.25">
      <c r="B403" s="16">
        <v>42517</v>
      </c>
      <c r="C403" s="50" t="s">
        <v>391</v>
      </c>
      <c r="D403" s="34"/>
      <c r="E403" s="18">
        <v>133218786</v>
      </c>
      <c r="F403" s="18"/>
      <c r="G403" s="18">
        <f>+E403</f>
        <v>133218786</v>
      </c>
      <c r="H403" s="18">
        <v>0</v>
      </c>
      <c r="I403" s="18">
        <v>0</v>
      </c>
      <c r="J403" s="18">
        <v>0</v>
      </c>
      <c r="K403" s="18">
        <f>+G403-H403-I403-J403</f>
        <v>133218786</v>
      </c>
      <c r="L403" s="19">
        <f>+L402-G403</f>
        <v>0</v>
      </c>
      <c r="M403" s="20"/>
      <c r="N403" s="20"/>
      <c r="P403" s="55"/>
      <c r="Q403" s="55"/>
      <c r="R403" s="14"/>
      <c r="S403" s="14"/>
    </row>
    <row r="404" spans="2:19" ht="12.95" hidden="1" customHeight="1" x14ac:dyDescent="0.25">
      <c r="B404" s="9" t="s">
        <v>397</v>
      </c>
      <c r="C404" s="10"/>
      <c r="D404" s="10">
        <v>68495000</v>
      </c>
      <c r="E404" s="11">
        <f>+D404</f>
        <v>68495000</v>
      </c>
      <c r="F404" s="273"/>
      <c r="G404" s="274"/>
      <c r="H404" s="274"/>
      <c r="I404" s="274"/>
      <c r="J404" s="274"/>
      <c r="K404" s="275"/>
      <c r="L404" s="11">
        <f>+D404</f>
        <v>68495000</v>
      </c>
      <c r="M404" s="12"/>
      <c r="N404" s="12"/>
      <c r="P404" s="55"/>
      <c r="Q404" s="55"/>
      <c r="R404" s="14"/>
      <c r="S404" s="14"/>
    </row>
    <row r="405" spans="2:19" ht="12.95" hidden="1" customHeight="1" x14ac:dyDescent="0.25">
      <c r="B405" s="16">
        <v>42564</v>
      </c>
      <c r="C405" s="50" t="s">
        <v>398</v>
      </c>
      <c r="D405" s="34"/>
      <c r="E405" s="18">
        <v>7210000</v>
      </c>
      <c r="F405" s="18"/>
      <c r="G405" s="18">
        <f t="shared" ref="G405:G413" si="56">+E405</f>
        <v>7210000</v>
      </c>
      <c r="H405" s="18">
        <v>0</v>
      </c>
      <c r="I405" s="18">
        <v>386225.6</v>
      </c>
      <c r="J405" s="18">
        <v>61708.66</v>
      </c>
      <c r="K405" s="18">
        <f t="shared" ref="K405:K413" si="57">+G405-H405-I405-J405</f>
        <v>6762065.7400000002</v>
      </c>
      <c r="L405" s="19">
        <f t="shared" ref="L405:L413" si="58">+L404-G405</f>
        <v>61285000</v>
      </c>
      <c r="M405" s="20"/>
      <c r="N405" s="20"/>
      <c r="P405" s="55"/>
      <c r="Q405" s="55"/>
      <c r="R405" s="14"/>
      <c r="S405" s="14"/>
    </row>
    <row r="406" spans="2:19" ht="12.95" hidden="1" customHeight="1" x14ac:dyDescent="0.25">
      <c r="B406" s="16">
        <v>42598</v>
      </c>
      <c r="C406" s="50" t="s">
        <v>399</v>
      </c>
      <c r="D406" s="34"/>
      <c r="E406" s="18">
        <v>7210000</v>
      </c>
      <c r="F406" s="18"/>
      <c r="G406" s="18">
        <f t="shared" si="56"/>
        <v>7210000</v>
      </c>
      <c r="H406" s="18">
        <v>0</v>
      </c>
      <c r="I406" s="18">
        <v>562004</v>
      </c>
      <c r="J406" s="18">
        <v>69648.600000000006</v>
      </c>
      <c r="K406" s="18">
        <f t="shared" si="57"/>
        <v>6578347.4000000004</v>
      </c>
      <c r="L406" s="19">
        <f t="shared" si="58"/>
        <v>54075000</v>
      </c>
      <c r="M406" s="20"/>
      <c r="N406" s="20"/>
      <c r="P406" s="55"/>
      <c r="Q406" s="55"/>
      <c r="R406" s="14"/>
      <c r="S406" s="14"/>
    </row>
    <row r="407" spans="2:19" ht="12.95" hidden="1" customHeight="1" x14ac:dyDescent="0.25">
      <c r="B407" s="16">
        <v>42598</v>
      </c>
      <c r="C407" s="50" t="s">
        <v>400</v>
      </c>
      <c r="D407" s="34"/>
      <c r="E407" s="18">
        <v>7210000</v>
      </c>
      <c r="F407" s="18"/>
      <c r="G407" s="18">
        <f t="shared" si="56"/>
        <v>7210000</v>
      </c>
      <c r="H407" s="18">
        <v>0</v>
      </c>
      <c r="I407" s="18">
        <v>1525246.6</v>
      </c>
      <c r="J407" s="18">
        <v>69648.600000000006</v>
      </c>
      <c r="K407" s="18">
        <f t="shared" si="57"/>
        <v>5615104.8000000007</v>
      </c>
      <c r="L407" s="19">
        <f t="shared" si="58"/>
        <v>46865000</v>
      </c>
      <c r="M407" s="20"/>
      <c r="N407" s="20"/>
      <c r="P407" s="55"/>
      <c r="Q407" s="55"/>
      <c r="R407" s="14"/>
      <c r="S407" s="14"/>
    </row>
    <row r="408" spans="2:19" ht="12.95" hidden="1" customHeight="1" x14ac:dyDescent="0.25">
      <c r="B408" s="16">
        <v>42601</v>
      </c>
      <c r="C408" s="50" t="s">
        <v>401</v>
      </c>
      <c r="D408" s="62"/>
      <c r="E408" s="18">
        <v>7210000</v>
      </c>
      <c r="F408" s="18"/>
      <c r="G408" s="18">
        <f t="shared" si="56"/>
        <v>7210000</v>
      </c>
      <c r="H408" s="18">
        <v>0</v>
      </c>
      <c r="I408" s="18">
        <v>386225.6</v>
      </c>
      <c r="J408" s="18">
        <v>61708.66</v>
      </c>
      <c r="K408" s="18">
        <f t="shared" si="57"/>
        <v>6762065.7400000002</v>
      </c>
      <c r="L408" s="19">
        <f t="shared" si="58"/>
        <v>39655000</v>
      </c>
      <c r="M408" s="20"/>
      <c r="N408" s="20"/>
      <c r="P408" s="55"/>
      <c r="Q408" s="55"/>
      <c r="R408" s="14"/>
      <c r="S408" s="14"/>
    </row>
    <row r="409" spans="2:19" ht="12.95" hidden="1" customHeight="1" x14ac:dyDescent="0.25">
      <c r="B409" s="16">
        <v>42646</v>
      </c>
      <c r="C409" s="50" t="s">
        <v>402</v>
      </c>
      <c r="D409" s="62"/>
      <c r="E409" s="18">
        <v>7210000</v>
      </c>
      <c r="F409" s="18"/>
      <c r="G409" s="18">
        <f t="shared" si="56"/>
        <v>7210000</v>
      </c>
      <c r="H409" s="18">
        <v>0</v>
      </c>
      <c r="I409" s="18">
        <v>386225.6</v>
      </c>
      <c r="J409" s="18">
        <v>61708.66</v>
      </c>
      <c r="K409" s="18">
        <f t="shared" si="57"/>
        <v>6762065.7400000002</v>
      </c>
      <c r="L409" s="19">
        <f t="shared" si="58"/>
        <v>32445000</v>
      </c>
      <c r="M409" s="20"/>
      <c r="N409" s="20"/>
      <c r="P409" s="55"/>
      <c r="Q409" s="55"/>
      <c r="R409" s="14"/>
      <c r="S409" s="14"/>
    </row>
    <row r="410" spans="2:19" ht="12.95" hidden="1" customHeight="1" x14ac:dyDescent="0.25">
      <c r="B410" s="16">
        <v>42671</v>
      </c>
      <c r="C410" s="50" t="s">
        <v>403</v>
      </c>
      <c r="D410" s="62"/>
      <c r="E410" s="18">
        <v>7210000</v>
      </c>
      <c r="F410" s="18"/>
      <c r="G410" s="18">
        <f t="shared" si="56"/>
        <v>7210000</v>
      </c>
      <c r="H410" s="18">
        <v>0</v>
      </c>
      <c r="I410" s="18">
        <v>386225.6</v>
      </c>
      <c r="J410" s="18">
        <v>61708.66</v>
      </c>
      <c r="K410" s="18">
        <f t="shared" si="57"/>
        <v>6762065.7400000002</v>
      </c>
      <c r="L410" s="19">
        <f t="shared" si="58"/>
        <v>25235000</v>
      </c>
      <c r="M410" s="20"/>
      <c r="N410" s="20"/>
      <c r="P410" s="55"/>
      <c r="Q410" s="55"/>
      <c r="R410" s="14"/>
      <c r="S410" s="14"/>
    </row>
    <row r="411" spans="2:19" ht="12.95" hidden="1" customHeight="1" x14ac:dyDescent="0.25">
      <c r="B411" s="16">
        <v>42730</v>
      </c>
      <c r="C411" s="50" t="s">
        <v>404</v>
      </c>
      <c r="D411" s="62"/>
      <c r="E411" s="18">
        <v>7210000</v>
      </c>
      <c r="F411" s="18"/>
      <c r="G411" s="18">
        <f t="shared" si="56"/>
        <v>7210000</v>
      </c>
      <c r="H411" s="18">
        <v>0</v>
      </c>
      <c r="I411" s="18">
        <v>386225.6</v>
      </c>
      <c r="J411" s="18">
        <v>61708.66</v>
      </c>
      <c r="K411" s="18">
        <f t="shared" si="57"/>
        <v>6762065.7400000002</v>
      </c>
      <c r="L411" s="19">
        <f t="shared" si="58"/>
        <v>18025000</v>
      </c>
      <c r="M411" s="20"/>
      <c r="N411" s="20"/>
      <c r="P411" s="55"/>
      <c r="Q411" s="55"/>
      <c r="R411" s="14"/>
      <c r="S411" s="14"/>
    </row>
    <row r="412" spans="2:19" ht="12.95" hidden="1" customHeight="1" x14ac:dyDescent="0.25">
      <c r="B412" s="16">
        <v>42832</v>
      </c>
      <c r="C412" s="50" t="s">
        <v>405</v>
      </c>
      <c r="D412" s="62"/>
      <c r="E412" s="18">
        <v>7210000</v>
      </c>
      <c r="F412" s="18"/>
      <c r="G412" s="18">
        <f t="shared" si="56"/>
        <v>7210000</v>
      </c>
      <c r="H412" s="18">
        <v>0</v>
      </c>
      <c r="I412" s="18">
        <v>318833.59000000003</v>
      </c>
      <c r="J412" s="18">
        <v>61708.66</v>
      </c>
      <c r="K412" s="18">
        <f t="shared" si="57"/>
        <v>6829457.75</v>
      </c>
      <c r="L412" s="19">
        <f t="shared" si="58"/>
        <v>10815000</v>
      </c>
      <c r="M412" s="20"/>
      <c r="N412" s="20"/>
      <c r="P412" s="55"/>
      <c r="Q412" s="55"/>
      <c r="R412" s="14"/>
      <c r="S412" s="14"/>
    </row>
    <row r="413" spans="2:19" ht="12.95" hidden="1" customHeight="1" x14ac:dyDescent="0.25">
      <c r="B413" s="16">
        <v>42832</v>
      </c>
      <c r="C413" s="50" t="s">
        <v>406</v>
      </c>
      <c r="D413" s="62"/>
      <c r="E413" s="18">
        <v>7210000</v>
      </c>
      <c r="F413" s="18"/>
      <c r="G413" s="18">
        <f t="shared" si="56"/>
        <v>7210000</v>
      </c>
      <c r="H413" s="18">
        <v>0</v>
      </c>
      <c r="I413" s="18">
        <v>318833.59000000003</v>
      </c>
      <c r="J413" s="18">
        <v>61708.66</v>
      </c>
      <c r="K413" s="18">
        <f t="shared" si="57"/>
        <v>6829457.75</v>
      </c>
      <c r="L413" s="19">
        <f t="shared" si="58"/>
        <v>3605000</v>
      </c>
      <c r="M413" s="20"/>
      <c r="N413" s="20"/>
      <c r="P413" s="55"/>
      <c r="Q413" s="55"/>
      <c r="R413" s="14"/>
      <c r="S413" s="14"/>
    </row>
    <row r="414" spans="2:19" ht="12.95" hidden="1" customHeight="1" x14ac:dyDescent="0.25">
      <c r="B414" s="9" t="s">
        <v>407</v>
      </c>
      <c r="C414" s="10"/>
      <c r="D414" s="10">
        <v>70040000</v>
      </c>
      <c r="E414" s="11">
        <f>+D414</f>
        <v>70040000</v>
      </c>
      <c r="F414" s="11"/>
      <c r="G414" s="11"/>
      <c r="H414" s="11"/>
      <c r="I414" s="11"/>
      <c r="J414" s="11"/>
      <c r="K414" s="11"/>
      <c r="L414" s="11">
        <f>+D414</f>
        <v>70040000</v>
      </c>
      <c r="M414" s="12"/>
      <c r="N414" s="12"/>
      <c r="P414" s="55"/>
      <c r="Q414" s="55"/>
      <c r="R414" s="14"/>
      <c r="S414" s="14"/>
    </row>
    <row r="415" spans="2:19" ht="12.95" hidden="1" customHeight="1" x14ac:dyDescent="0.25">
      <c r="B415" s="16">
        <v>42599</v>
      </c>
      <c r="C415" s="50" t="s">
        <v>408</v>
      </c>
      <c r="D415" s="34"/>
      <c r="E415" s="56">
        <v>8240000</v>
      </c>
      <c r="F415" s="37"/>
      <c r="G415" s="37">
        <f t="shared" ref="G415:G423" si="59">+E415</f>
        <v>8240000</v>
      </c>
      <c r="H415" s="56">
        <v>0</v>
      </c>
      <c r="I415" s="56">
        <v>688172.01</v>
      </c>
      <c r="J415" s="56">
        <v>75618.48</v>
      </c>
      <c r="K415" s="18">
        <f t="shared" ref="K415:K423" si="60">+G415-I415-J415</f>
        <v>7476209.5099999998</v>
      </c>
      <c r="L415" s="19">
        <f t="shared" ref="L415:L423" si="61">+L414-G415</f>
        <v>61800000</v>
      </c>
      <c r="M415" s="20"/>
      <c r="N415" s="20"/>
      <c r="P415" s="55"/>
      <c r="Q415" s="55"/>
      <c r="R415" s="14"/>
      <c r="S415" s="14"/>
    </row>
    <row r="416" spans="2:19" ht="12.95" hidden="1" customHeight="1" x14ac:dyDescent="0.25">
      <c r="B416" s="16">
        <v>42599</v>
      </c>
      <c r="C416" s="50" t="s">
        <v>409</v>
      </c>
      <c r="D416" s="55"/>
      <c r="E416" s="56">
        <v>8240000</v>
      </c>
      <c r="F416" s="56"/>
      <c r="G416" s="37">
        <f t="shared" si="59"/>
        <v>8240000</v>
      </c>
      <c r="H416" s="56">
        <v>0</v>
      </c>
      <c r="I416" s="56">
        <v>1460830.82</v>
      </c>
      <c r="J416" s="56">
        <v>75618.48</v>
      </c>
      <c r="K416" s="18">
        <f t="shared" si="60"/>
        <v>6703550.6999999993</v>
      </c>
      <c r="L416" s="19">
        <f t="shared" si="61"/>
        <v>53560000</v>
      </c>
      <c r="M416" s="20"/>
      <c r="N416" s="20"/>
      <c r="P416" s="55"/>
      <c r="Q416" s="55"/>
      <c r="R416" s="14"/>
      <c r="S416" s="14"/>
    </row>
    <row r="417" spans="2:19" ht="12.95" hidden="1" customHeight="1" x14ac:dyDescent="0.25">
      <c r="B417" s="16">
        <v>42633</v>
      </c>
      <c r="C417" s="50" t="s">
        <v>410</v>
      </c>
      <c r="D417" s="55"/>
      <c r="E417" s="56">
        <v>8240000</v>
      </c>
      <c r="F417" s="56"/>
      <c r="G417" s="37">
        <f t="shared" si="59"/>
        <v>8240000</v>
      </c>
      <c r="H417" s="56">
        <v>0</v>
      </c>
      <c r="I417" s="56">
        <v>515131.99</v>
      </c>
      <c r="J417" s="56">
        <v>75618.48</v>
      </c>
      <c r="K417" s="18">
        <f t="shared" si="60"/>
        <v>7649249.5299999993</v>
      </c>
      <c r="L417" s="19">
        <f t="shared" si="61"/>
        <v>45320000</v>
      </c>
      <c r="M417" s="20"/>
      <c r="N417" s="20"/>
      <c r="P417" s="55"/>
      <c r="Q417" s="55"/>
      <c r="R417" s="14"/>
      <c r="S417" s="14"/>
    </row>
    <row r="418" spans="2:19" ht="12.95" hidden="1" customHeight="1" x14ac:dyDescent="0.25">
      <c r="B418" s="16">
        <v>42703</v>
      </c>
      <c r="C418" s="50" t="s">
        <v>411</v>
      </c>
      <c r="D418" s="55"/>
      <c r="E418" s="56">
        <v>8240000</v>
      </c>
      <c r="F418" s="56"/>
      <c r="G418" s="37">
        <f t="shared" si="59"/>
        <v>8240000</v>
      </c>
      <c r="H418" s="56">
        <v>0</v>
      </c>
      <c r="I418" s="56">
        <v>1633870.85</v>
      </c>
      <c r="J418" s="56">
        <v>75618.48</v>
      </c>
      <c r="K418" s="18">
        <f t="shared" si="60"/>
        <v>6530510.6699999999</v>
      </c>
      <c r="L418" s="19">
        <f t="shared" si="61"/>
        <v>37080000</v>
      </c>
      <c r="M418" s="20"/>
      <c r="N418" s="20"/>
      <c r="P418" s="55"/>
      <c r="Q418" s="55"/>
      <c r="R418" s="14"/>
      <c r="S418" s="14"/>
    </row>
    <row r="419" spans="2:19" ht="12.95" hidden="1" customHeight="1" x14ac:dyDescent="0.25">
      <c r="B419" s="16">
        <v>42703</v>
      </c>
      <c r="C419" s="50" t="s">
        <v>412</v>
      </c>
      <c r="D419" s="55"/>
      <c r="E419" s="56">
        <v>8240000</v>
      </c>
      <c r="F419" s="56"/>
      <c r="G419" s="37">
        <f t="shared" si="59"/>
        <v>8240000</v>
      </c>
      <c r="H419" s="56">
        <v>0</v>
      </c>
      <c r="I419" s="56">
        <v>515131.99</v>
      </c>
      <c r="J419" s="56">
        <v>75618.48</v>
      </c>
      <c r="K419" s="18">
        <f t="shared" si="60"/>
        <v>7649249.5299999993</v>
      </c>
      <c r="L419" s="19">
        <f t="shared" si="61"/>
        <v>28840000</v>
      </c>
      <c r="M419" s="20"/>
      <c r="N419" s="20"/>
      <c r="P419" s="55"/>
      <c r="Q419" s="55"/>
      <c r="R419" s="14"/>
      <c r="S419" s="14"/>
    </row>
    <row r="420" spans="2:19" ht="12.95" hidden="1" customHeight="1" x14ac:dyDescent="0.25">
      <c r="B420" s="16">
        <v>42759</v>
      </c>
      <c r="C420" s="50" t="s">
        <v>413</v>
      </c>
      <c r="D420" s="55"/>
      <c r="E420" s="56">
        <v>8240000</v>
      </c>
      <c r="F420" s="56"/>
      <c r="G420" s="37">
        <f t="shared" si="59"/>
        <v>8240000</v>
      </c>
      <c r="H420" s="56">
        <v>0</v>
      </c>
      <c r="I420" s="56">
        <v>1599215.52</v>
      </c>
      <c r="J420" s="56">
        <v>75618.48</v>
      </c>
      <c r="K420" s="18">
        <f t="shared" si="60"/>
        <v>6565166</v>
      </c>
      <c r="L420" s="19">
        <f t="shared" si="61"/>
        <v>20600000</v>
      </c>
      <c r="M420" s="20"/>
      <c r="N420" s="20"/>
      <c r="P420" s="55"/>
      <c r="Q420" s="55"/>
      <c r="R420" s="14"/>
      <c r="S420" s="14"/>
    </row>
    <row r="421" spans="2:19" ht="12.95" hidden="1" customHeight="1" x14ac:dyDescent="0.25">
      <c r="B421" s="16">
        <v>42759</v>
      </c>
      <c r="C421" s="50" t="s">
        <v>414</v>
      </c>
      <c r="D421" s="55"/>
      <c r="E421" s="56">
        <v>8240000</v>
      </c>
      <c r="F421" s="56"/>
      <c r="G421" s="37">
        <f t="shared" si="59"/>
        <v>8240000</v>
      </c>
      <c r="H421" s="56">
        <v>0</v>
      </c>
      <c r="I421" s="56">
        <v>447740.01</v>
      </c>
      <c r="J421" s="56">
        <v>75618.48</v>
      </c>
      <c r="K421" s="18">
        <f t="shared" si="60"/>
        <v>7716641.5099999998</v>
      </c>
      <c r="L421" s="19">
        <f t="shared" si="61"/>
        <v>12360000</v>
      </c>
      <c r="M421" s="20"/>
      <c r="N421" s="20"/>
      <c r="P421" s="55"/>
      <c r="Q421" s="55"/>
      <c r="R421" s="14"/>
      <c r="S421" s="14"/>
    </row>
    <row r="422" spans="2:19" ht="12.95" hidden="1" customHeight="1" x14ac:dyDescent="0.25">
      <c r="B422" s="16">
        <v>42824</v>
      </c>
      <c r="C422" s="50" t="s">
        <v>415</v>
      </c>
      <c r="D422" s="55"/>
      <c r="E422" s="56">
        <v>8240000</v>
      </c>
      <c r="F422" s="56"/>
      <c r="G422" s="37">
        <f t="shared" si="59"/>
        <v>8240000</v>
      </c>
      <c r="H422" s="56">
        <v>0</v>
      </c>
      <c r="I422" s="56">
        <v>447740.01</v>
      </c>
      <c r="J422" s="56">
        <v>75618.48</v>
      </c>
      <c r="K422" s="18">
        <f t="shared" si="60"/>
        <v>7716641.5099999998</v>
      </c>
      <c r="L422" s="19">
        <f t="shared" si="61"/>
        <v>4120000</v>
      </c>
      <c r="M422" s="20"/>
      <c r="N422" s="20"/>
      <c r="P422" s="55"/>
      <c r="Q422" s="55"/>
      <c r="R422" s="14"/>
      <c r="S422" s="14"/>
    </row>
    <row r="423" spans="2:19" ht="12.95" hidden="1" customHeight="1" x14ac:dyDescent="0.25">
      <c r="B423" s="16">
        <v>43097.125</v>
      </c>
      <c r="C423" s="50" t="s">
        <v>416</v>
      </c>
      <c r="D423" s="55"/>
      <c r="E423" s="56">
        <v>4120000</v>
      </c>
      <c r="F423" s="56"/>
      <c r="G423" s="37">
        <f t="shared" si="59"/>
        <v>4120000</v>
      </c>
      <c r="H423" s="56">
        <v>0</v>
      </c>
      <c r="I423" s="56">
        <v>0</v>
      </c>
      <c r="J423" s="56">
        <v>37809.24</v>
      </c>
      <c r="K423" s="18">
        <f t="shared" si="60"/>
        <v>4082190.76</v>
      </c>
      <c r="L423" s="19">
        <f t="shared" si="61"/>
        <v>0</v>
      </c>
      <c r="M423" s="20"/>
      <c r="N423" s="20"/>
      <c r="P423" s="55"/>
      <c r="Q423" s="55"/>
      <c r="R423" s="14"/>
      <c r="S423" s="14"/>
    </row>
    <row r="424" spans="2:19" ht="12.95" hidden="1" customHeight="1" x14ac:dyDescent="0.25">
      <c r="B424" s="9" t="s">
        <v>417</v>
      </c>
      <c r="C424" s="10"/>
      <c r="D424" s="10">
        <f>24250000+2500000</f>
        <v>26750000</v>
      </c>
      <c r="E424" s="11">
        <f>+D424</f>
        <v>26750000</v>
      </c>
      <c r="F424" s="11"/>
      <c r="G424" s="11"/>
      <c r="H424" s="11"/>
      <c r="I424" s="11"/>
      <c r="J424" s="11"/>
      <c r="K424" s="11"/>
      <c r="L424" s="11">
        <f>+D424</f>
        <v>26750000</v>
      </c>
      <c r="M424" s="12"/>
      <c r="N424" s="12"/>
      <c r="P424" s="55"/>
      <c r="Q424" s="55"/>
      <c r="R424" s="14"/>
      <c r="S424" s="14"/>
    </row>
    <row r="425" spans="2:19" ht="12.95" hidden="1" customHeight="1" x14ac:dyDescent="0.25">
      <c r="B425" s="16">
        <v>42626</v>
      </c>
      <c r="C425" s="50" t="s">
        <v>418</v>
      </c>
      <c r="D425" s="34"/>
      <c r="E425" s="56">
        <v>3500000</v>
      </c>
      <c r="F425" s="37"/>
      <c r="G425" s="37">
        <f t="shared" ref="G425:G440" si="62">+E425</f>
        <v>3500000</v>
      </c>
      <c r="H425" s="56">
        <v>0</v>
      </c>
      <c r="I425" s="37"/>
      <c r="J425" s="37">
        <v>33810</v>
      </c>
      <c r="K425" s="18">
        <f t="shared" ref="K425:K440" si="63">+G425-I425-J425</f>
        <v>3466190</v>
      </c>
      <c r="L425" s="19">
        <f t="shared" ref="L425:L440" si="64">+L424-G425</f>
        <v>23250000</v>
      </c>
      <c r="M425" s="20"/>
      <c r="N425" s="20"/>
      <c r="P425" s="55"/>
      <c r="Q425" s="55"/>
      <c r="R425" s="14"/>
      <c r="S425" s="14"/>
    </row>
    <row r="426" spans="2:19" ht="12.95" hidden="1" customHeight="1" x14ac:dyDescent="0.25">
      <c r="B426" s="16">
        <v>42626</v>
      </c>
      <c r="C426" s="50" t="s">
        <v>419</v>
      </c>
      <c r="D426" s="55"/>
      <c r="E426" s="56">
        <v>684828</v>
      </c>
      <c r="F426" s="56"/>
      <c r="G426" s="37">
        <f t="shared" si="62"/>
        <v>684828</v>
      </c>
      <c r="H426" s="56">
        <v>0</v>
      </c>
      <c r="I426" s="56">
        <v>59296.33</v>
      </c>
      <c r="J426" s="56">
        <v>6615.44</v>
      </c>
      <c r="K426" s="18">
        <f t="shared" si="63"/>
        <v>618916.2300000001</v>
      </c>
      <c r="L426" s="19">
        <f t="shared" si="64"/>
        <v>22565172</v>
      </c>
      <c r="M426" s="20"/>
      <c r="N426" s="20"/>
      <c r="P426" s="55"/>
      <c r="Q426" s="55"/>
      <c r="R426" s="14"/>
      <c r="S426" s="14"/>
    </row>
    <row r="427" spans="2:19" ht="12.95" hidden="1" customHeight="1" x14ac:dyDescent="0.25">
      <c r="B427" s="16">
        <v>42664</v>
      </c>
      <c r="C427" s="50" t="s">
        <v>420</v>
      </c>
      <c r="D427" s="55"/>
      <c r="E427" s="56">
        <v>4313991</v>
      </c>
      <c r="F427" s="56"/>
      <c r="G427" s="37">
        <f t="shared" si="62"/>
        <v>4313991</v>
      </c>
      <c r="H427" s="56">
        <v>0</v>
      </c>
      <c r="I427" s="56">
        <v>77702.070000000007</v>
      </c>
      <c r="J427" s="56">
        <v>41673.15</v>
      </c>
      <c r="K427" s="18">
        <f t="shared" si="63"/>
        <v>4194615.7799999993</v>
      </c>
      <c r="L427" s="19">
        <f t="shared" si="64"/>
        <v>18251181</v>
      </c>
      <c r="M427" s="20"/>
      <c r="N427" s="20"/>
      <c r="P427" s="55"/>
      <c r="Q427" s="55"/>
      <c r="R427" s="14"/>
      <c r="S427" s="14"/>
    </row>
    <row r="428" spans="2:19" ht="12.95" hidden="1" customHeight="1" x14ac:dyDescent="0.25">
      <c r="B428" s="16">
        <v>42667</v>
      </c>
      <c r="C428" s="50" t="s">
        <v>421</v>
      </c>
      <c r="D428" s="55"/>
      <c r="E428" s="56">
        <v>3500000</v>
      </c>
      <c r="F428" s="61"/>
      <c r="G428" s="37">
        <f t="shared" si="62"/>
        <v>3500000</v>
      </c>
      <c r="H428" s="56">
        <v>0</v>
      </c>
      <c r="I428" s="56">
        <v>611140.04</v>
      </c>
      <c r="J428" s="56">
        <v>33810</v>
      </c>
      <c r="K428" s="18">
        <f t="shared" si="63"/>
        <v>2855049.96</v>
      </c>
      <c r="L428" s="19">
        <f t="shared" si="64"/>
        <v>14751181</v>
      </c>
      <c r="M428" s="20"/>
      <c r="N428" s="20"/>
      <c r="P428" s="55"/>
      <c r="Q428" s="55"/>
      <c r="R428" s="14"/>
      <c r="S428" s="14"/>
    </row>
    <row r="429" spans="2:19" ht="12.95" hidden="1" customHeight="1" x14ac:dyDescent="0.25">
      <c r="B429" s="16">
        <v>42683</v>
      </c>
      <c r="C429" s="50" t="s">
        <v>422</v>
      </c>
      <c r="D429" s="55"/>
      <c r="E429" s="56">
        <v>0</v>
      </c>
      <c r="F429" s="61"/>
      <c r="G429" s="37">
        <f t="shared" si="62"/>
        <v>0</v>
      </c>
      <c r="H429" s="56">
        <v>0</v>
      </c>
      <c r="I429" s="56"/>
      <c r="J429" s="75">
        <v>-6615.44</v>
      </c>
      <c r="K429" s="18">
        <f t="shared" si="63"/>
        <v>6615.44</v>
      </c>
      <c r="L429" s="19">
        <f t="shared" si="64"/>
        <v>14751181</v>
      </c>
      <c r="M429" s="20"/>
      <c r="N429" s="20"/>
      <c r="P429" s="55"/>
      <c r="Q429" s="55"/>
      <c r="R429" s="14"/>
      <c r="S429" s="14"/>
    </row>
    <row r="430" spans="2:19" ht="12.95" hidden="1" customHeight="1" x14ac:dyDescent="0.25">
      <c r="B430" s="16">
        <v>42683</v>
      </c>
      <c r="C430" s="50" t="s">
        <v>423</v>
      </c>
      <c r="D430" s="55"/>
      <c r="E430" s="56">
        <v>0</v>
      </c>
      <c r="F430" s="61"/>
      <c r="G430" s="37">
        <f t="shared" si="62"/>
        <v>0</v>
      </c>
      <c r="H430" s="56">
        <v>0</v>
      </c>
      <c r="I430" s="56"/>
      <c r="J430" s="75">
        <v>-59296.33</v>
      </c>
      <c r="K430" s="18">
        <f t="shared" si="63"/>
        <v>59296.33</v>
      </c>
      <c r="L430" s="19">
        <f t="shared" si="64"/>
        <v>14751181</v>
      </c>
      <c r="M430" s="20"/>
      <c r="N430" s="20"/>
      <c r="P430" s="55"/>
      <c r="Q430" s="55"/>
      <c r="R430" s="14"/>
      <c r="S430" s="14"/>
    </row>
    <row r="431" spans="2:19" ht="12.95" hidden="1" customHeight="1" x14ac:dyDescent="0.25">
      <c r="B431" s="16">
        <v>42684</v>
      </c>
      <c r="C431" s="50" t="s">
        <v>424</v>
      </c>
      <c r="D431" s="55"/>
      <c r="E431" s="56">
        <v>0</v>
      </c>
      <c r="F431" s="61"/>
      <c r="G431" s="37">
        <f t="shared" si="62"/>
        <v>0</v>
      </c>
      <c r="H431" s="56">
        <v>0</v>
      </c>
      <c r="I431" s="37">
        <v>-77702.070000000007</v>
      </c>
      <c r="J431" s="37"/>
      <c r="K431" s="18">
        <f t="shared" si="63"/>
        <v>77702.070000000007</v>
      </c>
      <c r="L431" s="19">
        <f t="shared" si="64"/>
        <v>14751181</v>
      </c>
      <c r="M431" s="20"/>
      <c r="N431" s="20"/>
      <c r="P431" s="55"/>
      <c r="Q431" s="55"/>
      <c r="R431" s="14"/>
      <c r="S431" s="14"/>
    </row>
    <row r="432" spans="2:19" ht="12.95" hidden="1" customHeight="1" x14ac:dyDescent="0.25">
      <c r="B432" s="16">
        <v>42684</v>
      </c>
      <c r="C432" s="50" t="s">
        <v>425</v>
      </c>
      <c r="D432" s="55"/>
      <c r="E432" s="56">
        <v>0</v>
      </c>
      <c r="F432" s="61"/>
      <c r="G432" s="37">
        <f t="shared" si="62"/>
        <v>0</v>
      </c>
      <c r="H432" s="56">
        <v>0</v>
      </c>
      <c r="I432" s="37"/>
      <c r="J432" s="37">
        <v>-41673.15</v>
      </c>
      <c r="K432" s="18">
        <f t="shared" si="63"/>
        <v>41673.15</v>
      </c>
      <c r="L432" s="19">
        <f t="shared" si="64"/>
        <v>14751181</v>
      </c>
      <c r="M432" s="20"/>
      <c r="N432" s="20"/>
      <c r="P432" s="55"/>
      <c r="Q432" s="55"/>
      <c r="R432" s="14"/>
      <c r="S432" s="14"/>
    </row>
    <row r="433" spans="2:19" ht="12.95" hidden="1" customHeight="1" x14ac:dyDescent="0.25">
      <c r="B433" s="16">
        <v>42690</v>
      </c>
      <c r="C433" s="50" t="s">
        <v>426</v>
      </c>
      <c r="D433" s="55"/>
      <c r="E433" s="56">
        <v>0</v>
      </c>
      <c r="F433" s="61"/>
      <c r="G433" s="37">
        <f t="shared" si="62"/>
        <v>0</v>
      </c>
      <c r="H433" s="56">
        <v>0</v>
      </c>
      <c r="I433" s="37">
        <v>-611140.04</v>
      </c>
      <c r="J433" s="56"/>
      <c r="K433" s="18">
        <f t="shared" si="63"/>
        <v>611140.04</v>
      </c>
      <c r="L433" s="19">
        <f t="shared" si="64"/>
        <v>14751181</v>
      </c>
      <c r="M433" s="20"/>
      <c r="N433" s="20"/>
      <c r="P433" s="55"/>
      <c r="Q433" s="55"/>
      <c r="R433" s="14"/>
      <c r="S433" s="14"/>
    </row>
    <row r="434" spans="2:19" ht="12.95" hidden="1" customHeight="1" x14ac:dyDescent="0.25">
      <c r="B434" s="16">
        <v>42690</v>
      </c>
      <c r="C434" s="50" t="s">
        <v>427</v>
      </c>
      <c r="D434" s="55"/>
      <c r="E434" s="56">
        <v>3500000</v>
      </c>
      <c r="F434" s="61"/>
      <c r="G434" s="37">
        <f t="shared" si="62"/>
        <v>3500000</v>
      </c>
      <c r="H434" s="56">
        <v>0</v>
      </c>
      <c r="I434" s="56">
        <v>0</v>
      </c>
      <c r="J434" s="56">
        <v>33810</v>
      </c>
      <c r="K434" s="18">
        <f t="shared" si="63"/>
        <v>3466190</v>
      </c>
      <c r="L434" s="19">
        <f t="shared" si="64"/>
        <v>11251181</v>
      </c>
      <c r="M434" s="20"/>
      <c r="N434" s="20"/>
      <c r="P434" s="55"/>
      <c r="Q434" s="55"/>
      <c r="R434" s="14"/>
      <c r="S434" s="14"/>
    </row>
    <row r="435" spans="2:19" ht="12.75" hidden="1" customHeight="1" x14ac:dyDescent="0.25">
      <c r="B435" s="16">
        <v>42690</v>
      </c>
      <c r="C435" s="50" t="s">
        <v>428</v>
      </c>
      <c r="D435" s="55"/>
      <c r="E435" s="56">
        <v>1073448</v>
      </c>
      <c r="F435" s="61"/>
      <c r="G435" s="37">
        <f t="shared" si="62"/>
        <v>1073448</v>
      </c>
      <c r="H435" s="56">
        <v>0</v>
      </c>
      <c r="I435" s="56">
        <v>0</v>
      </c>
      <c r="J435" s="56">
        <v>0</v>
      </c>
      <c r="K435" s="18">
        <f t="shared" si="63"/>
        <v>1073448</v>
      </c>
      <c r="L435" s="19">
        <f t="shared" si="64"/>
        <v>10177733</v>
      </c>
      <c r="M435" s="20"/>
      <c r="N435" s="20"/>
      <c r="P435" s="55"/>
      <c r="Q435" s="55"/>
      <c r="R435" s="14"/>
      <c r="S435" s="14"/>
    </row>
    <row r="436" spans="2:19" ht="12.75" hidden="1" customHeight="1" x14ac:dyDescent="0.25">
      <c r="B436" s="16">
        <v>42731</v>
      </c>
      <c r="C436" s="50" t="s">
        <v>429</v>
      </c>
      <c r="D436" s="55"/>
      <c r="E436" s="56">
        <v>3500000</v>
      </c>
      <c r="F436" s="61"/>
      <c r="G436" s="37">
        <f t="shared" si="62"/>
        <v>3500000</v>
      </c>
      <c r="H436" s="56">
        <v>0</v>
      </c>
      <c r="I436" s="56">
        <v>0</v>
      </c>
      <c r="J436" s="56">
        <v>33810</v>
      </c>
      <c r="K436" s="18">
        <f t="shared" si="63"/>
        <v>3466190</v>
      </c>
      <c r="L436" s="19">
        <f t="shared" si="64"/>
        <v>6677733</v>
      </c>
      <c r="M436" s="20"/>
      <c r="N436" s="20"/>
      <c r="P436" s="55"/>
      <c r="Q436" s="55"/>
      <c r="R436" s="14"/>
      <c r="S436" s="14"/>
    </row>
    <row r="437" spans="2:19" ht="12.75" hidden="1" customHeight="1" x14ac:dyDescent="0.25">
      <c r="B437" s="16">
        <v>42732</v>
      </c>
      <c r="C437" s="50" t="s">
        <v>430</v>
      </c>
      <c r="D437" s="55"/>
      <c r="E437" s="56">
        <v>700642</v>
      </c>
      <c r="F437" s="61"/>
      <c r="G437" s="37">
        <f t="shared" si="62"/>
        <v>700642</v>
      </c>
      <c r="H437" s="56">
        <v>0</v>
      </c>
      <c r="I437" s="56">
        <v>0</v>
      </c>
      <c r="J437" s="56">
        <v>33810</v>
      </c>
      <c r="K437" s="18">
        <f t="shared" si="63"/>
        <v>666832</v>
      </c>
      <c r="L437" s="19">
        <f t="shared" si="64"/>
        <v>5977091</v>
      </c>
      <c r="M437" s="20"/>
      <c r="N437" s="20"/>
      <c r="P437" s="55"/>
      <c r="Q437" s="55"/>
      <c r="R437" s="14"/>
      <c r="S437" s="14"/>
    </row>
    <row r="438" spans="2:19" ht="12.75" hidden="1" customHeight="1" x14ac:dyDescent="0.25">
      <c r="B438" s="16">
        <v>42745</v>
      </c>
      <c r="C438" s="50" t="s">
        <v>431</v>
      </c>
      <c r="D438" s="55"/>
      <c r="E438" s="56">
        <v>3500000</v>
      </c>
      <c r="F438" s="61"/>
      <c r="G438" s="37">
        <f t="shared" si="62"/>
        <v>3500000</v>
      </c>
      <c r="H438" s="56">
        <v>0</v>
      </c>
      <c r="I438" s="56">
        <v>0</v>
      </c>
      <c r="J438" s="56">
        <v>33810</v>
      </c>
      <c r="K438" s="18">
        <f t="shared" si="63"/>
        <v>3466190</v>
      </c>
      <c r="L438" s="19">
        <f t="shared" si="64"/>
        <v>2477091</v>
      </c>
      <c r="M438" s="20"/>
      <c r="N438" s="20"/>
      <c r="P438" s="55"/>
      <c r="Q438" s="55"/>
      <c r="R438" s="14"/>
      <c r="S438" s="14"/>
    </row>
    <row r="439" spans="2:19" ht="12.75" hidden="1" customHeight="1" x14ac:dyDescent="0.25">
      <c r="B439" s="16">
        <v>42993</v>
      </c>
      <c r="C439" s="50" t="s">
        <v>432</v>
      </c>
      <c r="D439" s="55"/>
      <c r="E439" s="56">
        <v>566384</v>
      </c>
      <c r="F439" s="61"/>
      <c r="G439" s="37">
        <f t="shared" si="62"/>
        <v>566384</v>
      </c>
      <c r="H439" s="56">
        <v>0</v>
      </c>
      <c r="I439" s="56">
        <v>0</v>
      </c>
      <c r="J439" s="56"/>
      <c r="K439" s="18">
        <f t="shared" si="63"/>
        <v>566384</v>
      </c>
      <c r="L439" s="19">
        <f t="shared" si="64"/>
        <v>1910707</v>
      </c>
      <c r="M439" s="20"/>
      <c r="N439" s="20"/>
      <c r="P439" s="55"/>
      <c r="Q439" s="55"/>
      <c r="R439" s="14"/>
      <c r="S439" s="14"/>
    </row>
    <row r="440" spans="2:19" ht="12.75" hidden="1" customHeight="1" x14ac:dyDescent="0.25">
      <c r="B440" s="16">
        <v>42996</v>
      </c>
      <c r="C440" s="50" t="s">
        <v>433</v>
      </c>
      <c r="D440" s="55"/>
      <c r="E440" s="56">
        <v>583333.32999999996</v>
      </c>
      <c r="F440" s="61"/>
      <c r="G440" s="37">
        <f t="shared" si="62"/>
        <v>583333.32999999996</v>
      </c>
      <c r="H440" s="56">
        <v>0</v>
      </c>
      <c r="I440" s="56">
        <v>0</v>
      </c>
      <c r="J440" s="64">
        <v>5635</v>
      </c>
      <c r="K440" s="18">
        <f t="shared" si="63"/>
        <v>577698.32999999996</v>
      </c>
      <c r="L440" s="19">
        <f t="shared" si="64"/>
        <v>1327373.67</v>
      </c>
      <c r="M440" s="20"/>
      <c r="N440" s="20"/>
      <c r="P440" s="55"/>
      <c r="Q440" s="55"/>
      <c r="R440" s="14"/>
      <c r="S440" s="14"/>
    </row>
    <row r="441" spans="2:19" ht="12.95" hidden="1" customHeight="1" x14ac:dyDescent="0.25">
      <c r="B441" s="9" t="s">
        <v>434</v>
      </c>
      <c r="C441" s="10"/>
      <c r="D441" s="10">
        <f>758282400+239736334</f>
        <v>998018734</v>
      </c>
      <c r="E441" s="11">
        <f>+D441</f>
        <v>998018734</v>
      </c>
      <c r="F441" s="11"/>
      <c r="G441" s="11"/>
      <c r="H441" s="11"/>
      <c r="I441" s="11"/>
      <c r="J441" s="11"/>
      <c r="K441" s="11"/>
      <c r="L441" s="11">
        <f>+D441</f>
        <v>998018734</v>
      </c>
      <c r="M441" s="12"/>
      <c r="N441" s="12"/>
      <c r="P441" s="55"/>
      <c r="Q441" s="55"/>
      <c r="R441" s="14"/>
      <c r="S441" s="14"/>
    </row>
    <row r="442" spans="2:19" ht="12.95" hidden="1" customHeight="1" x14ac:dyDescent="0.25">
      <c r="B442" s="16">
        <v>42642</v>
      </c>
      <c r="C442" s="50" t="s">
        <v>435</v>
      </c>
      <c r="D442" s="34"/>
      <c r="E442" s="37">
        <v>189570600</v>
      </c>
      <c r="F442" s="37"/>
      <c r="G442" s="37">
        <f>+E442</f>
        <v>189570600</v>
      </c>
      <c r="H442" s="37">
        <v>3922150.35</v>
      </c>
      <c r="I442" s="37"/>
      <c r="J442" s="37">
        <v>1578665.51</v>
      </c>
      <c r="K442" s="18">
        <f>+G442-I442-J442</f>
        <v>187991934.49000001</v>
      </c>
      <c r="L442" s="19">
        <f>+L441-G442</f>
        <v>808448134</v>
      </c>
      <c r="M442" s="20"/>
      <c r="N442" s="20"/>
      <c r="P442" s="55"/>
      <c r="Q442" s="55"/>
      <c r="R442" s="14"/>
      <c r="S442" s="14"/>
    </row>
    <row r="443" spans="2:19" ht="12.95" hidden="1" customHeight="1" x14ac:dyDescent="0.25">
      <c r="B443" s="16">
        <v>42671</v>
      </c>
      <c r="C443" s="50" t="s">
        <v>436</v>
      </c>
      <c r="D443" s="34"/>
      <c r="E443" s="37">
        <v>530797680</v>
      </c>
      <c r="F443" s="37"/>
      <c r="G443" s="37">
        <f>+E443</f>
        <v>530797680</v>
      </c>
      <c r="H443" s="37">
        <v>10982020.949999999</v>
      </c>
      <c r="I443" s="37"/>
      <c r="J443" s="37">
        <v>4420263.4400000004</v>
      </c>
      <c r="K443" s="18">
        <f>+G443-I443-J443</f>
        <v>526377416.56</v>
      </c>
      <c r="L443" s="19">
        <f>+L442-G443</f>
        <v>277650454</v>
      </c>
      <c r="M443" s="20"/>
      <c r="N443" s="20"/>
      <c r="P443" s="55"/>
      <c r="Q443" s="55"/>
      <c r="R443" s="14"/>
      <c r="S443" s="14"/>
    </row>
    <row r="444" spans="2:19" ht="12.95" hidden="1" customHeight="1" x14ac:dyDescent="0.25">
      <c r="B444" s="16">
        <v>42845</v>
      </c>
      <c r="C444" s="50" t="s">
        <v>437</v>
      </c>
      <c r="D444" s="34"/>
      <c r="E444" s="76">
        <v>37914120</v>
      </c>
      <c r="F444" s="37"/>
      <c r="G444" s="37">
        <f>+E444</f>
        <v>37914120</v>
      </c>
      <c r="H444" s="64">
        <v>784430.1</v>
      </c>
      <c r="I444" s="64"/>
      <c r="J444" s="64">
        <v>315733.09999999998</v>
      </c>
      <c r="K444" s="18">
        <f>+G444-I444-J444</f>
        <v>37598386.899999999</v>
      </c>
      <c r="L444" s="19">
        <f>+L443-G444</f>
        <v>239736334</v>
      </c>
      <c r="M444" s="20"/>
      <c r="N444" s="20"/>
      <c r="P444" s="55"/>
      <c r="Q444" s="55"/>
      <c r="R444" s="14"/>
      <c r="S444" s="14"/>
    </row>
    <row r="445" spans="2:19" ht="12.95" hidden="1" customHeight="1" x14ac:dyDescent="0.25">
      <c r="B445" s="16">
        <v>42845</v>
      </c>
      <c r="C445" s="50" t="s">
        <v>438</v>
      </c>
      <c r="D445" s="34"/>
      <c r="E445" s="76">
        <v>239736334</v>
      </c>
      <c r="F445" s="37"/>
      <c r="G445" s="37">
        <f>+E445</f>
        <v>239736334</v>
      </c>
      <c r="H445" s="64">
        <v>4960062.1500000004</v>
      </c>
      <c r="I445" s="64"/>
      <c r="J445" s="64">
        <v>1996424.98</v>
      </c>
      <c r="K445" s="18">
        <f>+G445-I445-J445</f>
        <v>237739909.02000001</v>
      </c>
      <c r="L445" s="19">
        <f>+L444-G445</f>
        <v>0</v>
      </c>
      <c r="M445" s="20"/>
      <c r="N445" s="20"/>
      <c r="P445" s="55"/>
      <c r="Q445" s="55"/>
      <c r="R445" s="14"/>
      <c r="S445" s="14"/>
    </row>
    <row r="446" spans="2:19" ht="12.95" hidden="1" customHeight="1" x14ac:dyDescent="0.25">
      <c r="B446" s="9" t="s">
        <v>439</v>
      </c>
      <c r="C446" s="10"/>
      <c r="D446" s="10">
        <v>24075000</v>
      </c>
      <c r="E446" s="11">
        <f>+D446</f>
        <v>24075000</v>
      </c>
      <c r="F446" s="11"/>
      <c r="G446" s="11"/>
      <c r="H446" s="11"/>
      <c r="I446" s="11"/>
      <c r="J446" s="11"/>
      <c r="K446" s="11"/>
      <c r="L446" s="11">
        <f>+D446</f>
        <v>24075000</v>
      </c>
      <c r="M446" s="12"/>
      <c r="N446" s="12"/>
      <c r="P446" s="55"/>
      <c r="Q446" s="55"/>
      <c r="R446" s="14"/>
      <c r="S446" s="14"/>
    </row>
    <row r="447" spans="2:19" ht="12.95" hidden="1" customHeight="1" x14ac:dyDescent="0.25">
      <c r="B447" s="16">
        <v>42635</v>
      </c>
      <c r="C447" s="50" t="s">
        <v>440</v>
      </c>
      <c r="D447" s="34"/>
      <c r="E447" s="37">
        <v>5350000</v>
      </c>
      <c r="F447" s="37"/>
      <c r="G447" s="37">
        <f>+E447</f>
        <v>5350000</v>
      </c>
      <c r="H447" s="37">
        <v>0</v>
      </c>
      <c r="I447" s="37">
        <v>0</v>
      </c>
      <c r="J447" s="37">
        <v>45789.37</v>
      </c>
      <c r="K447" s="18">
        <f>+G447-I447-J447</f>
        <v>5304210.63</v>
      </c>
      <c r="L447" s="19">
        <f>+L446-G447</f>
        <v>18725000</v>
      </c>
      <c r="M447" s="20"/>
      <c r="N447" s="20"/>
      <c r="P447" s="55"/>
      <c r="Q447" s="55"/>
      <c r="R447" s="14"/>
      <c r="S447" s="14"/>
    </row>
    <row r="448" spans="2:19" ht="12.95" hidden="1" customHeight="1" x14ac:dyDescent="0.25">
      <c r="B448" s="16">
        <v>42670</v>
      </c>
      <c r="C448" s="50" t="s">
        <v>441</v>
      </c>
      <c r="D448" s="34"/>
      <c r="E448" s="37">
        <v>5350000</v>
      </c>
      <c r="F448" s="37"/>
      <c r="G448" s="37">
        <f>+E448</f>
        <v>5350000</v>
      </c>
      <c r="H448" s="37">
        <v>0</v>
      </c>
      <c r="I448" s="37">
        <v>0</v>
      </c>
      <c r="J448" s="37">
        <v>45789.37</v>
      </c>
      <c r="K448" s="18">
        <f>+G448-I448-J448</f>
        <v>5304210.63</v>
      </c>
      <c r="L448" s="19">
        <f>+L447-G448</f>
        <v>13375000</v>
      </c>
      <c r="M448" s="20"/>
      <c r="N448" s="20"/>
      <c r="P448" s="55"/>
      <c r="Q448" s="55"/>
      <c r="R448" s="14"/>
      <c r="S448" s="14"/>
    </row>
    <row r="449" spans="2:19" ht="12.95" hidden="1" customHeight="1" x14ac:dyDescent="0.25">
      <c r="B449" s="16">
        <v>42699</v>
      </c>
      <c r="C449" s="50" t="s">
        <v>442</v>
      </c>
      <c r="D449" s="34"/>
      <c r="E449" s="49">
        <v>5350000</v>
      </c>
      <c r="F449" s="37"/>
      <c r="G449" s="37">
        <f>+E449</f>
        <v>5350000</v>
      </c>
      <c r="H449" s="37">
        <v>0</v>
      </c>
      <c r="I449" s="37">
        <v>0</v>
      </c>
      <c r="J449" s="37">
        <v>45789.37</v>
      </c>
      <c r="K449" s="18">
        <f>+G449-I449-J449</f>
        <v>5304210.63</v>
      </c>
      <c r="L449" s="19">
        <f>+L448-G449</f>
        <v>8025000</v>
      </c>
      <c r="M449" s="20"/>
      <c r="N449" s="20"/>
      <c r="P449" s="55"/>
      <c r="Q449" s="55"/>
      <c r="R449" s="14"/>
      <c r="S449" s="14"/>
    </row>
    <row r="450" spans="2:19" ht="12.95" hidden="1" customHeight="1" x14ac:dyDescent="0.25">
      <c r="B450" s="16">
        <v>42725</v>
      </c>
      <c r="C450" s="50" t="s">
        <v>443</v>
      </c>
      <c r="D450" s="34"/>
      <c r="E450" s="49">
        <v>5350000</v>
      </c>
      <c r="F450" s="37"/>
      <c r="G450" s="37">
        <f>+E450</f>
        <v>5350000</v>
      </c>
      <c r="H450" s="37">
        <v>0</v>
      </c>
      <c r="I450" s="37"/>
      <c r="J450" s="37">
        <v>45789.37</v>
      </c>
      <c r="K450" s="18">
        <f>+G450-I450-J450</f>
        <v>5304210.63</v>
      </c>
      <c r="L450" s="19">
        <f>+L449-G450</f>
        <v>2675000</v>
      </c>
      <c r="M450" s="20"/>
      <c r="N450" s="20"/>
      <c r="P450" s="55"/>
      <c r="Q450" s="55"/>
      <c r="R450" s="14"/>
      <c r="S450" s="14"/>
    </row>
    <row r="451" spans="2:19" ht="12.95" hidden="1" customHeight="1" x14ac:dyDescent="0.25">
      <c r="B451" s="16">
        <v>42755</v>
      </c>
      <c r="C451" s="50" t="s">
        <v>444</v>
      </c>
      <c r="D451" s="34"/>
      <c r="E451" s="49">
        <v>2675000</v>
      </c>
      <c r="F451" s="37"/>
      <c r="G451" s="37">
        <f>+E451</f>
        <v>2675000</v>
      </c>
      <c r="H451" s="37">
        <v>0</v>
      </c>
      <c r="I451" s="37"/>
      <c r="J451" s="37">
        <v>22894.68</v>
      </c>
      <c r="K451" s="18">
        <f>+G451-I451-J451</f>
        <v>2652105.3199999998</v>
      </c>
      <c r="L451" s="19">
        <f>+L450-G451</f>
        <v>0</v>
      </c>
      <c r="M451" s="20"/>
      <c r="N451" s="20"/>
      <c r="P451" s="55"/>
      <c r="Q451" s="55"/>
      <c r="R451" s="14"/>
      <c r="S451" s="14"/>
    </row>
    <row r="452" spans="2:19" ht="12.95" hidden="1" customHeight="1" x14ac:dyDescent="0.25">
      <c r="B452" s="9" t="s">
        <v>445</v>
      </c>
      <c r="C452" s="10"/>
      <c r="D452" s="10">
        <v>53260000</v>
      </c>
      <c r="E452" s="11">
        <f>+D452</f>
        <v>53260000</v>
      </c>
      <c r="F452" s="11"/>
      <c r="G452" s="11"/>
      <c r="H452" s="11"/>
      <c r="I452" s="11"/>
      <c r="J452" s="11"/>
      <c r="K452" s="11"/>
      <c r="L452" s="11">
        <f>+D452</f>
        <v>53260000</v>
      </c>
      <c r="M452" s="12"/>
      <c r="N452" s="12"/>
      <c r="P452" s="55"/>
      <c r="Q452" s="55"/>
      <c r="R452" s="14"/>
      <c r="S452" s="14"/>
    </row>
    <row r="453" spans="2:19" ht="12.95" hidden="1" customHeight="1" x14ac:dyDescent="0.25">
      <c r="B453" s="16">
        <v>42626</v>
      </c>
      <c r="C453" s="50" t="s">
        <v>446</v>
      </c>
      <c r="D453" s="34"/>
      <c r="E453" s="37">
        <v>8900000</v>
      </c>
      <c r="F453" s="37"/>
      <c r="G453" s="37">
        <f t="shared" ref="G453:G462" si="65">+E453</f>
        <v>8900000</v>
      </c>
      <c r="H453" s="37"/>
      <c r="I453" s="37">
        <v>916904</v>
      </c>
      <c r="J453" s="37">
        <v>85974</v>
      </c>
      <c r="K453" s="18">
        <f t="shared" ref="K453:K462" si="66">+G453-I453-J453</f>
        <v>7897122</v>
      </c>
      <c r="L453" s="19">
        <f t="shared" ref="L453:L462" si="67">+L452-G453</f>
        <v>44360000</v>
      </c>
      <c r="M453" s="20"/>
      <c r="N453" s="20"/>
      <c r="P453" s="55"/>
      <c r="Q453" s="55"/>
      <c r="R453" s="14"/>
      <c r="S453" s="14"/>
    </row>
    <row r="454" spans="2:19" ht="12.95" hidden="1" customHeight="1" x14ac:dyDescent="0.25">
      <c r="B454" s="16">
        <v>42634</v>
      </c>
      <c r="C454" s="50" t="s">
        <v>447</v>
      </c>
      <c r="D454" s="34"/>
      <c r="E454" s="37">
        <v>1531026</v>
      </c>
      <c r="F454" s="37"/>
      <c r="G454" s="37">
        <f t="shared" si="65"/>
        <v>1531026</v>
      </c>
      <c r="H454" s="37"/>
      <c r="I454" s="37">
        <v>321515.46999999997</v>
      </c>
      <c r="J454" s="37">
        <v>14789.71</v>
      </c>
      <c r="K454" s="18">
        <f t="shared" si="66"/>
        <v>1194720.82</v>
      </c>
      <c r="L454" s="19">
        <f t="shared" si="67"/>
        <v>42828974</v>
      </c>
      <c r="M454" s="20"/>
      <c r="N454" s="20"/>
      <c r="P454" s="55"/>
      <c r="Q454" s="55"/>
      <c r="R454" s="14"/>
      <c r="S454" s="14"/>
    </row>
    <row r="455" spans="2:19" ht="12.95" hidden="1" customHeight="1" x14ac:dyDescent="0.25">
      <c r="B455" s="16">
        <v>42653</v>
      </c>
      <c r="C455" s="50" t="s">
        <v>448</v>
      </c>
      <c r="D455" s="34"/>
      <c r="E455" s="37">
        <v>8900000</v>
      </c>
      <c r="F455" s="37"/>
      <c r="G455" s="37">
        <f t="shared" si="65"/>
        <v>8900000</v>
      </c>
      <c r="H455" s="37"/>
      <c r="I455" s="37">
        <v>916904</v>
      </c>
      <c r="J455" s="37">
        <v>85974</v>
      </c>
      <c r="K455" s="18">
        <f t="shared" si="66"/>
        <v>7897122</v>
      </c>
      <c r="L455" s="19">
        <f t="shared" si="67"/>
        <v>33928974</v>
      </c>
      <c r="M455" s="20"/>
      <c r="N455" s="20"/>
      <c r="P455" s="55"/>
      <c r="Q455" s="55"/>
      <c r="R455" s="14"/>
      <c r="S455" s="14"/>
    </row>
    <row r="456" spans="2:19" ht="12.95" hidden="1" customHeight="1" x14ac:dyDescent="0.25">
      <c r="B456" s="16">
        <v>42671</v>
      </c>
      <c r="C456" s="50" t="s">
        <v>449</v>
      </c>
      <c r="D456" s="34"/>
      <c r="E456" s="37">
        <v>1478067</v>
      </c>
      <c r="F456" s="37"/>
      <c r="G456" s="37">
        <f t="shared" si="65"/>
        <v>1478067</v>
      </c>
      <c r="H456" s="37">
        <v>0</v>
      </c>
      <c r="I456" s="37">
        <v>0</v>
      </c>
      <c r="J456" s="37">
        <v>0</v>
      </c>
      <c r="K456" s="18">
        <f t="shared" si="66"/>
        <v>1478067</v>
      </c>
      <c r="L456" s="19">
        <f t="shared" si="67"/>
        <v>32450907</v>
      </c>
      <c r="M456" s="20"/>
      <c r="N456" s="20"/>
      <c r="P456" s="55"/>
      <c r="Q456" s="55"/>
      <c r="R456" s="14"/>
      <c r="S456" s="14"/>
    </row>
    <row r="457" spans="2:19" ht="12.95" hidden="1" customHeight="1" x14ac:dyDescent="0.25">
      <c r="B457" s="16">
        <v>42683</v>
      </c>
      <c r="C457" s="50" t="s">
        <v>450</v>
      </c>
      <c r="D457" s="34"/>
      <c r="E457" s="49">
        <v>8900000</v>
      </c>
      <c r="F457" s="37"/>
      <c r="G457" s="37">
        <f t="shared" si="65"/>
        <v>8900000</v>
      </c>
      <c r="H457" s="37"/>
      <c r="I457" s="64">
        <v>916904</v>
      </c>
      <c r="J457" s="64">
        <v>85974</v>
      </c>
      <c r="K457" s="18">
        <f t="shared" si="66"/>
        <v>7897122</v>
      </c>
      <c r="L457" s="19">
        <f t="shared" si="67"/>
        <v>23550907</v>
      </c>
      <c r="M457" s="20"/>
      <c r="N457" s="20"/>
      <c r="P457" s="55"/>
      <c r="Q457" s="55"/>
      <c r="R457" s="14"/>
      <c r="S457" s="14"/>
    </row>
    <row r="458" spans="2:19" ht="12.95" hidden="1" customHeight="1" x14ac:dyDescent="0.25">
      <c r="B458" s="16">
        <v>42683</v>
      </c>
      <c r="C458" s="50" t="s">
        <v>451</v>
      </c>
      <c r="D458" s="34"/>
      <c r="E458" s="49">
        <v>0</v>
      </c>
      <c r="F458" s="37"/>
      <c r="G458" s="37">
        <f t="shared" si="65"/>
        <v>0</v>
      </c>
      <c r="H458" s="37"/>
      <c r="I458" s="37">
        <v>-14789.71</v>
      </c>
      <c r="J458" s="64">
        <v>0</v>
      </c>
      <c r="K458" s="18">
        <f t="shared" si="66"/>
        <v>14789.71</v>
      </c>
      <c r="L458" s="19">
        <f t="shared" si="67"/>
        <v>23550907</v>
      </c>
      <c r="M458" s="20"/>
      <c r="N458" s="20"/>
      <c r="P458" s="55"/>
      <c r="Q458" s="55"/>
      <c r="R458" s="14"/>
      <c r="S458" s="14"/>
    </row>
    <row r="459" spans="2:19" ht="12.95" hidden="1" customHeight="1" x14ac:dyDescent="0.25">
      <c r="B459" s="16">
        <v>42684</v>
      </c>
      <c r="C459" s="50" t="s">
        <v>452</v>
      </c>
      <c r="D459" s="34"/>
      <c r="E459" s="49">
        <v>0</v>
      </c>
      <c r="F459" s="37"/>
      <c r="G459" s="37">
        <f t="shared" si="65"/>
        <v>0</v>
      </c>
      <c r="H459" s="37"/>
      <c r="I459" s="37">
        <v>-321515.46999999997</v>
      </c>
      <c r="J459" s="64"/>
      <c r="K459" s="18">
        <f t="shared" si="66"/>
        <v>321515.46999999997</v>
      </c>
      <c r="L459" s="19">
        <f t="shared" si="67"/>
        <v>23550907</v>
      </c>
      <c r="M459" s="20"/>
      <c r="N459" s="20"/>
      <c r="P459" s="55"/>
      <c r="Q459" s="55"/>
      <c r="R459" s="14"/>
      <c r="S459" s="14"/>
    </row>
    <row r="460" spans="2:19" ht="12.95" hidden="1" customHeight="1" x14ac:dyDescent="0.25">
      <c r="B460" s="16">
        <v>42710</v>
      </c>
      <c r="C460" s="50" t="s">
        <v>453</v>
      </c>
      <c r="D460" s="34"/>
      <c r="E460" s="49">
        <v>8900000</v>
      </c>
      <c r="F460" s="37"/>
      <c r="G460" s="37">
        <f t="shared" si="65"/>
        <v>8900000</v>
      </c>
      <c r="H460" s="37"/>
      <c r="I460" s="64">
        <v>916904</v>
      </c>
      <c r="J460" s="64">
        <v>85974</v>
      </c>
      <c r="K460" s="18">
        <f t="shared" si="66"/>
        <v>7897122</v>
      </c>
      <c r="L460" s="19">
        <f t="shared" si="67"/>
        <v>14650907</v>
      </c>
      <c r="M460" s="20"/>
      <c r="N460" s="20"/>
      <c r="P460" s="55"/>
      <c r="Q460" s="55"/>
      <c r="R460" s="14"/>
      <c r="S460" s="14"/>
    </row>
    <row r="461" spans="2:19" ht="12.95" hidden="1" customHeight="1" x14ac:dyDescent="0.25">
      <c r="B461" s="16">
        <v>42748</v>
      </c>
      <c r="C461" s="50" t="s">
        <v>454</v>
      </c>
      <c r="D461" s="34"/>
      <c r="E461" s="49">
        <v>8900000</v>
      </c>
      <c r="F461" s="37"/>
      <c r="G461" s="37">
        <f t="shared" si="65"/>
        <v>8900000</v>
      </c>
      <c r="H461" s="37"/>
      <c r="I461" s="64">
        <v>849512.02</v>
      </c>
      <c r="J461" s="64">
        <v>85974</v>
      </c>
      <c r="K461" s="18">
        <f t="shared" si="66"/>
        <v>7964513.9800000004</v>
      </c>
      <c r="L461" s="19">
        <f t="shared" si="67"/>
        <v>5750907</v>
      </c>
      <c r="M461" s="20"/>
      <c r="N461" s="20"/>
      <c r="P461" s="55"/>
      <c r="Q461" s="55"/>
      <c r="R461" s="14"/>
      <c r="S461" s="14"/>
    </row>
    <row r="462" spans="2:19" ht="12.95" hidden="1" customHeight="1" x14ac:dyDescent="0.25">
      <c r="B462" s="16">
        <v>42748</v>
      </c>
      <c r="C462" s="55" t="s">
        <v>24</v>
      </c>
      <c r="D462" s="55"/>
      <c r="E462" s="66">
        <f>4450000+1300907</f>
        <v>5750907</v>
      </c>
      <c r="F462" s="55"/>
      <c r="G462" s="37">
        <f t="shared" si="65"/>
        <v>5750907</v>
      </c>
      <c r="H462" s="37"/>
      <c r="I462" s="55"/>
      <c r="J462" s="55"/>
      <c r="K462" s="18">
        <f t="shared" si="66"/>
        <v>5750907</v>
      </c>
      <c r="L462" s="19">
        <f t="shared" si="67"/>
        <v>0</v>
      </c>
      <c r="M462" s="20"/>
      <c r="N462" s="20"/>
      <c r="P462" s="55"/>
      <c r="Q462" s="55"/>
      <c r="R462" s="14"/>
      <c r="S462" s="14"/>
    </row>
    <row r="463" spans="2:19" ht="12.95" hidden="1" customHeight="1" x14ac:dyDescent="0.25">
      <c r="B463" s="9" t="s">
        <v>455</v>
      </c>
      <c r="C463" s="10"/>
      <c r="D463" s="10">
        <v>41525000</v>
      </c>
      <c r="E463" s="11">
        <f>+D463</f>
        <v>41525000</v>
      </c>
      <c r="F463" s="272"/>
      <c r="G463" s="272"/>
      <c r="H463" s="272"/>
      <c r="I463" s="272"/>
      <c r="J463" s="272"/>
      <c r="K463" s="272"/>
      <c r="L463" s="11">
        <f>+D463</f>
        <v>41525000</v>
      </c>
      <c r="M463" s="12"/>
      <c r="N463" s="12"/>
      <c r="P463" s="55"/>
      <c r="Q463" s="55"/>
      <c r="R463" s="14"/>
      <c r="S463" s="14"/>
    </row>
    <row r="464" spans="2:19" ht="12.95" hidden="1" customHeight="1" x14ac:dyDescent="0.25">
      <c r="B464" s="16">
        <v>42635</v>
      </c>
      <c r="C464" s="50" t="s">
        <v>440</v>
      </c>
      <c r="D464" s="34"/>
      <c r="E464" s="37">
        <v>7550000</v>
      </c>
      <c r="F464" s="37"/>
      <c r="G464" s="37">
        <f t="shared" ref="G464:G470" si="68">+E464</f>
        <v>7550000</v>
      </c>
      <c r="H464" s="37">
        <v>0</v>
      </c>
      <c r="I464" s="37">
        <v>0</v>
      </c>
      <c r="J464" s="37">
        <v>45789.37</v>
      </c>
      <c r="K464" s="18">
        <f t="shared" ref="K464:K470" si="69">+G464-I464-J464</f>
        <v>7504210.6299999999</v>
      </c>
      <c r="L464" s="19">
        <f t="shared" ref="L464:L470" si="70">+L463-G464</f>
        <v>33975000</v>
      </c>
      <c r="M464" s="20"/>
      <c r="N464" s="20"/>
      <c r="P464" s="55"/>
      <c r="Q464" s="55"/>
      <c r="R464" s="14"/>
      <c r="S464" s="14"/>
    </row>
    <row r="465" spans="2:19" ht="12.95" hidden="1" customHeight="1" x14ac:dyDescent="0.25">
      <c r="B465" s="16">
        <v>42646</v>
      </c>
      <c r="C465" s="50" t="s">
        <v>456</v>
      </c>
      <c r="D465" s="34"/>
      <c r="E465" s="37">
        <v>7550000</v>
      </c>
      <c r="F465" s="37"/>
      <c r="G465" s="37">
        <f t="shared" si="68"/>
        <v>7550000</v>
      </c>
      <c r="H465" s="37"/>
      <c r="I465" s="37">
        <v>1544109.83</v>
      </c>
      <c r="J465" s="37">
        <v>72933</v>
      </c>
      <c r="K465" s="18">
        <f t="shared" si="69"/>
        <v>5932957.1699999999</v>
      </c>
      <c r="L465" s="19">
        <f t="shared" si="70"/>
        <v>26425000</v>
      </c>
      <c r="M465" s="20"/>
      <c r="N465" s="20"/>
      <c r="P465" s="55"/>
      <c r="Q465" s="55"/>
      <c r="R465" s="14"/>
      <c r="S465" s="14"/>
    </row>
    <row r="466" spans="2:19" ht="12.95" hidden="1" customHeight="1" x14ac:dyDescent="0.25">
      <c r="B466" s="16">
        <v>42671</v>
      </c>
      <c r="C466" s="50" t="s">
        <v>457</v>
      </c>
      <c r="D466" s="34"/>
      <c r="E466" s="37">
        <v>7550000</v>
      </c>
      <c r="F466" s="37"/>
      <c r="G466" s="37">
        <f t="shared" si="68"/>
        <v>7550000</v>
      </c>
      <c r="H466" s="37"/>
      <c r="I466" s="37">
        <v>474854.01</v>
      </c>
      <c r="J466" s="37">
        <v>72933</v>
      </c>
      <c r="K466" s="18">
        <f t="shared" si="69"/>
        <v>7002212.9900000002</v>
      </c>
      <c r="L466" s="19">
        <f t="shared" si="70"/>
        <v>18875000</v>
      </c>
      <c r="M466" s="20"/>
      <c r="N466" s="20"/>
      <c r="P466" s="55"/>
      <c r="Q466" s="55"/>
      <c r="R466" s="14"/>
      <c r="S466" s="14"/>
    </row>
    <row r="467" spans="2:19" ht="12.95" hidden="1" customHeight="1" x14ac:dyDescent="0.25">
      <c r="B467" s="16">
        <v>42703</v>
      </c>
      <c r="C467" s="50" t="s">
        <v>458</v>
      </c>
      <c r="D467" s="34"/>
      <c r="E467" s="37">
        <v>7550000</v>
      </c>
      <c r="F467" s="37"/>
      <c r="G467" s="37">
        <f t="shared" si="68"/>
        <v>7550000</v>
      </c>
      <c r="H467" s="37"/>
      <c r="I467" s="37">
        <v>474854.01</v>
      </c>
      <c r="J467" s="37">
        <v>72933</v>
      </c>
      <c r="K467" s="18">
        <f t="shared" si="69"/>
        <v>7002212.9900000002</v>
      </c>
      <c r="L467" s="19">
        <f t="shared" si="70"/>
        <v>11325000</v>
      </c>
      <c r="M467" s="20"/>
      <c r="N467" s="20"/>
      <c r="P467" s="55"/>
      <c r="Q467" s="55"/>
      <c r="R467" s="14"/>
      <c r="S467" s="14"/>
    </row>
    <row r="468" spans="2:19" ht="12.95" hidden="1" customHeight="1" x14ac:dyDescent="0.25">
      <c r="B468" s="16">
        <v>42733</v>
      </c>
      <c r="C468" s="50" t="s">
        <v>459</v>
      </c>
      <c r="D468" s="34"/>
      <c r="E468" s="37">
        <v>5536667</v>
      </c>
      <c r="F468" s="37"/>
      <c r="G468" s="37">
        <f t="shared" si="68"/>
        <v>5536667</v>
      </c>
      <c r="H468" s="37"/>
      <c r="I468" s="37">
        <v>173035.89</v>
      </c>
      <c r="J468" s="37">
        <v>53484.2</v>
      </c>
      <c r="K468" s="18">
        <f t="shared" si="69"/>
        <v>5310146.91</v>
      </c>
      <c r="L468" s="19">
        <f t="shared" si="70"/>
        <v>5788333</v>
      </c>
      <c r="M468" s="20"/>
      <c r="N468" s="20"/>
      <c r="P468" s="55"/>
      <c r="Q468" s="55"/>
      <c r="R468" s="14"/>
      <c r="S468" s="14"/>
    </row>
    <row r="469" spans="2:19" ht="12.95" hidden="1" customHeight="1" x14ac:dyDescent="0.25">
      <c r="B469" s="16">
        <v>42765</v>
      </c>
      <c r="C469" s="50" t="s">
        <v>460</v>
      </c>
      <c r="D469" s="34"/>
      <c r="E469" s="37">
        <v>3775000</v>
      </c>
      <c r="F469" s="37"/>
      <c r="G469" s="37">
        <f t="shared" si="68"/>
        <v>3775000</v>
      </c>
      <c r="H469" s="37"/>
      <c r="I469" s="37">
        <v>0</v>
      </c>
      <c r="J469" s="37">
        <v>36466.5</v>
      </c>
      <c r="K469" s="18">
        <f t="shared" si="69"/>
        <v>3738533.5</v>
      </c>
      <c r="L469" s="19">
        <f t="shared" si="70"/>
        <v>2013333</v>
      </c>
      <c r="M469" s="20"/>
      <c r="N469" s="20"/>
      <c r="P469" s="55"/>
      <c r="Q469" s="55"/>
      <c r="R469" s="14"/>
      <c r="S469" s="14"/>
    </row>
    <row r="470" spans="2:19" ht="12.95" hidden="1" customHeight="1" x14ac:dyDescent="0.25">
      <c r="B470" s="16">
        <v>42765</v>
      </c>
      <c r="C470" s="50" t="s">
        <v>24</v>
      </c>
      <c r="D470" s="34"/>
      <c r="E470" s="37">
        <v>2013333</v>
      </c>
      <c r="F470" s="37"/>
      <c r="G470" s="37">
        <f t="shared" si="68"/>
        <v>2013333</v>
      </c>
      <c r="H470" s="37"/>
      <c r="I470" s="37"/>
      <c r="J470" s="37"/>
      <c r="K470" s="18">
        <f t="shared" si="69"/>
        <v>2013333</v>
      </c>
      <c r="L470" s="19">
        <f t="shared" si="70"/>
        <v>0</v>
      </c>
      <c r="M470" s="20"/>
      <c r="N470" s="20"/>
      <c r="P470" s="55"/>
      <c r="Q470" s="55"/>
      <c r="R470" s="14"/>
      <c r="S470" s="14"/>
    </row>
    <row r="471" spans="2:19" ht="12.95" hidden="1" customHeight="1" x14ac:dyDescent="0.25">
      <c r="B471" s="9" t="s">
        <v>461</v>
      </c>
      <c r="C471" s="10"/>
      <c r="D471" s="10">
        <f>21750000+750000</f>
        <v>22500000</v>
      </c>
      <c r="E471" s="11">
        <f>+D471</f>
        <v>22500000</v>
      </c>
      <c r="F471" s="273"/>
      <c r="G471" s="274"/>
      <c r="H471" s="274"/>
      <c r="I471" s="274"/>
      <c r="J471" s="274"/>
      <c r="K471" s="275"/>
      <c r="L471" s="11">
        <f>+D471</f>
        <v>22500000</v>
      </c>
      <c r="M471" s="12"/>
      <c r="N471" s="12"/>
      <c r="P471" s="55"/>
      <c r="Q471" s="55"/>
      <c r="R471" s="14"/>
      <c r="S471" s="14"/>
    </row>
    <row r="472" spans="2:19" ht="12.95" hidden="1" customHeight="1" x14ac:dyDescent="0.25">
      <c r="B472" s="16">
        <v>42647</v>
      </c>
      <c r="C472" s="50" t="s">
        <v>462</v>
      </c>
      <c r="D472" s="34"/>
      <c r="E472" s="37">
        <v>4500000</v>
      </c>
      <c r="F472" s="37"/>
      <c r="G472" s="37">
        <f t="shared" ref="G472:G478" si="71">+E472</f>
        <v>4500000</v>
      </c>
      <c r="H472" s="37">
        <v>0</v>
      </c>
      <c r="I472" s="37">
        <v>29766.36</v>
      </c>
      <c r="J472" s="37">
        <v>38514.42</v>
      </c>
      <c r="K472" s="18">
        <f t="shared" ref="K472:K478" si="72">+G472-I472-J472</f>
        <v>4431719.22</v>
      </c>
      <c r="L472" s="19">
        <f t="shared" ref="L472:L478" si="73">+L471-G472</f>
        <v>18000000</v>
      </c>
      <c r="M472" s="20"/>
      <c r="N472" s="20"/>
      <c r="P472" s="55"/>
      <c r="Q472" s="55"/>
      <c r="R472" s="14"/>
      <c r="S472" s="14"/>
    </row>
    <row r="473" spans="2:19" ht="12.95" hidden="1" customHeight="1" x14ac:dyDescent="0.25">
      <c r="B473" s="16">
        <v>42674</v>
      </c>
      <c r="C473" s="50" t="s">
        <v>463</v>
      </c>
      <c r="D473" s="34"/>
      <c r="E473" s="37">
        <v>4500000</v>
      </c>
      <c r="F473" s="37"/>
      <c r="G473" s="37">
        <f t="shared" si="71"/>
        <v>4500000</v>
      </c>
      <c r="H473" s="37">
        <v>0</v>
      </c>
      <c r="I473" s="37">
        <v>688729.64</v>
      </c>
      <c r="J473" s="37">
        <v>38514.42</v>
      </c>
      <c r="K473" s="18">
        <f t="shared" si="72"/>
        <v>3772755.94</v>
      </c>
      <c r="L473" s="19">
        <f t="shared" si="73"/>
        <v>13500000</v>
      </c>
      <c r="M473" s="20"/>
      <c r="N473" s="20"/>
      <c r="P473" s="55"/>
      <c r="Q473" s="55"/>
      <c r="R473" s="14"/>
      <c r="S473" s="14"/>
    </row>
    <row r="474" spans="2:19" ht="12.95" hidden="1" customHeight="1" x14ac:dyDescent="0.25">
      <c r="B474" s="16">
        <v>42675</v>
      </c>
      <c r="C474" s="50" t="s">
        <v>464</v>
      </c>
      <c r="D474" s="34"/>
      <c r="E474" s="49">
        <v>981257</v>
      </c>
      <c r="F474" s="37"/>
      <c r="G474" s="37">
        <f t="shared" si="71"/>
        <v>981257</v>
      </c>
      <c r="H474" s="37">
        <v>0</v>
      </c>
      <c r="I474" s="37">
        <v>0</v>
      </c>
      <c r="J474" s="37">
        <v>0</v>
      </c>
      <c r="K474" s="18">
        <f t="shared" si="72"/>
        <v>981257</v>
      </c>
      <c r="L474" s="19">
        <f t="shared" si="73"/>
        <v>12518743</v>
      </c>
      <c r="M474" s="20"/>
      <c r="N474" s="20"/>
      <c r="P474" s="55"/>
      <c r="Q474" s="55"/>
      <c r="R474" s="14"/>
      <c r="S474" s="14"/>
    </row>
    <row r="475" spans="2:19" ht="12.95" hidden="1" customHeight="1" x14ac:dyDescent="0.25">
      <c r="B475" s="16">
        <v>42703</v>
      </c>
      <c r="C475" s="50" t="s">
        <v>465</v>
      </c>
      <c r="D475" s="34"/>
      <c r="E475" s="49">
        <v>4500000</v>
      </c>
      <c r="F475" s="37"/>
      <c r="G475" s="37">
        <f t="shared" si="71"/>
        <v>4500000</v>
      </c>
      <c r="H475" s="37">
        <v>0</v>
      </c>
      <c r="I475" s="37">
        <v>29766.36</v>
      </c>
      <c r="J475" s="37">
        <v>38514.42</v>
      </c>
      <c r="K475" s="18">
        <f t="shared" si="72"/>
        <v>4431719.22</v>
      </c>
      <c r="L475" s="19">
        <f t="shared" si="73"/>
        <v>8018743</v>
      </c>
      <c r="M475" s="20"/>
      <c r="N475" s="20"/>
      <c r="P475" s="55"/>
      <c r="Q475" s="55"/>
      <c r="R475" s="14"/>
      <c r="S475" s="14"/>
    </row>
    <row r="476" spans="2:19" ht="12.95" hidden="1" customHeight="1" x14ac:dyDescent="0.25">
      <c r="B476" s="16">
        <v>42733</v>
      </c>
      <c r="C476" s="50" t="s">
        <v>466</v>
      </c>
      <c r="D476" s="34"/>
      <c r="E476" s="49">
        <v>3750000</v>
      </c>
      <c r="F476" s="37"/>
      <c r="G476" s="37">
        <f t="shared" si="71"/>
        <v>3750000</v>
      </c>
      <c r="H476" s="37">
        <v>0</v>
      </c>
      <c r="I476" s="37"/>
      <c r="J476" s="37">
        <v>32095.35</v>
      </c>
      <c r="K476" s="18">
        <f t="shared" si="72"/>
        <v>3717904.65</v>
      </c>
      <c r="L476" s="19">
        <f t="shared" si="73"/>
        <v>4268743</v>
      </c>
      <c r="M476" s="20"/>
      <c r="N476" s="20"/>
      <c r="P476" s="55"/>
      <c r="Q476" s="55"/>
      <c r="R476" s="14"/>
      <c r="S476" s="14"/>
    </row>
    <row r="477" spans="2:19" ht="12.95" hidden="1" customHeight="1" x14ac:dyDescent="0.25">
      <c r="B477" s="16">
        <v>42758</v>
      </c>
      <c r="C477" s="50" t="s">
        <v>467</v>
      </c>
      <c r="D477" s="34"/>
      <c r="E477" s="49">
        <v>2250000</v>
      </c>
      <c r="F477" s="37"/>
      <c r="G477" s="37">
        <f t="shared" si="71"/>
        <v>2250000</v>
      </c>
      <c r="H477" s="37">
        <v>0</v>
      </c>
      <c r="I477" s="37"/>
      <c r="J477" s="37">
        <v>19257.21</v>
      </c>
      <c r="K477" s="18">
        <f t="shared" si="72"/>
        <v>2230742.79</v>
      </c>
      <c r="L477" s="19">
        <f t="shared" si="73"/>
        <v>2018743</v>
      </c>
      <c r="M477" s="20"/>
      <c r="N477" s="20"/>
      <c r="P477" s="55"/>
      <c r="Q477" s="55"/>
      <c r="R477" s="14"/>
      <c r="S477" s="14"/>
    </row>
    <row r="478" spans="2:19" ht="12.95" hidden="1" customHeight="1" x14ac:dyDescent="0.25">
      <c r="B478" s="16">
        <v>42758</v>
      </c>
      <c r="C478" s="50" t="s">
        <v>24</v>
      </c>
      <c r="D478" s="40"/>
      <c r="E478" s="57">
        <v>2018743</v>
      </c>
      <c r="F478" s="37"/>
      <c r="G478" s="37">
        <f t="shared" si="71"/>
        <v>2018743</v>
      </c>
      <c r="H478" s="37">
        <v>0</v>
      </c>
      <c r="I478" s="37"/>
      <c r="J478" s="37">
        <v>0</v>
      </c>
      <c r="K478" s="41">
        <f t="shared" si="72"/>
        <v>2018743</v>
      </c>
      <c r="L478" s="19">
        <f t="shared" si="73"/>
        <v>0</v>
      </c>
      <c r="M478" s="20"/>
      <c r="N478" s="20"/>
      <c r="P478" s="55"/>
      <c r="Q478" s="55"/>
      <c r="R478" s="14"/>
      <c r="S478" s="14"/>
    </row>
    <row r="479" spans="2:19" ht="12.95" hidden="1" customHeight="1" x14ac:dyDescent="0.25">
      <c r="B479" s="9" t="s">
        <v>468</v>
      </c>
      <c r="C479" s="10"/>
      <c r="D479" s="10">
        <v>14500000</v>
      </c>
      <c r="E479" s="11">
        <f>+D479</f>
        <v>14500000</v>
      </c>
      <c r="F479" s="273"/>
      <c r="G479" s="274"/>
      <c r="H479" s="274"/>
      <c r="I479" s="274"/>
      <c r="J479" s="274"/>
      <c r="K479" s="275"/>
      <c r="L479" s="11">
        <f>+D479</f>
        <v>14500000</v>
      </c>
      <c r="M479" s="12"/>
      <c r="N479" s="12"/>
      <c r="P479" s="55"/>
      <c r="Q479" s="55"/>
      <c r="R479" s="14"/>
      <c r="S479" s="14"/>
    </row>
    <row r="480" spans="2:19" ht="12.95" hidden="1" customHeight="1" x14ac:dyDescent="0.25">
      <c r="B480" s="16">
        <v>42647</v>
      </c>
      <c r="C480" s="50" t="s">
        <v>469</v>
      </c>
      <c r="D480" s="34"/>
      <c r="E480" s="37">
        <v>2900000</v>
      </c>
      <c r="F480" s="37"/>
      <c r="G480" s="37">
        <f t="shared" ref="G480:G485" si="74">+E480</f>
        <v>2900000</v>
      </c>
      <c r="H480" s="37">
        <v>0</v>
      </c>
      <c r="I480" s="37">
        <v>0</v>
      </c>
      <c r="J480" s="37">
        <v>28014</v>
      </c>
      <c r="K480" s="18">
        <f t="shared" ref="K480:K485" si="75">+G480-I480-J480</f>
        <v>2871986</v>
      </c>
      <c r="L480" s="19">
        <f t="shared" ref="L480:L485" si="76">+L479-G480</f>
        <v>11600000</v>
      </c>
      <c r="M480" s="20"/>
      <c r="N480" s="20"/>
      <c r="P480" s="55"/>
      <c r="Q480" s="55"/>
      <c r="R480" s="14"/>
      <c r="S480" s="14"/>
    </row>
    <row r="481" spans="2:19" ht="12.95" hidden="1" customHeight="1" x14ac:dyDescent="0.25">
      <c r="B481" s="16">
        <v>42690</v>
      </c>
      <c r="C481" s="50" t="s">
        <v>470</v>
      </c>
      <c r="D481" s="34"/>
      <c r="E481" s="37">
        <v>2900000</v>
      </c>
      <c r="F481" s="37"/>
      <c r="G481" s="37">
        <f t="shared" si="74"/>
        <v>2900000</v>
      </c>
      <c r="H481" s="37">
        <v>0</v>
      </c>
      <c r="I481" s="37">
        <v>0</v>
      </c>
      <c r="J481" s="37">
        <v>28014</v>
      </c>
      <c r="K481" s="18">
        <f t="shared" si="75"/>
        <v>2871986</v>
      </c>
      <c r="L481" s="19">
        <f t="shared" si="76"/>
        <v>8700000</v>
      </c>
      <c r="M481" s="20"/>
      <c r="N481" s="20"/>
      <c r="P481" s="55"/>
      <c r="Q481" s="55"/>
      <c r="R481" s="14"/>
      <c r="S481" s="14"/>
    </row>
    <row r="482" spans="2:19" ht="12.95" hidden="1" customHeight="1" x14ac:dyDescent="0.25">
      <c r="B482" s="16">
        <v>42716</v>
      </c>
      <c r="C482" s="50" t="s">
        <v>471</v>
      </c>
      <c r="D482" s="34"/>
      <c r="E482" s="37">
        <v>2900000</v>
      </c>
      <c r="F482" s="37"/>
      <c r="G482" s="37">
        <f t="shared" si="74"/>
        <v>2900000</v>
      </c>
      <c r="H482" s="37">
        <v>0</v>
      </c>
      <c r="I482" s="37">
        <v>0</v>
      </c>
      <c r="J482" s="37">
        <v>28014</v>
      </c>
      <c r="K482" s="18">
        <f t="shared" si="75"/>
        <v>2871986</v>
      </c>
      <c r="L482" s="19">
        <f t="shared" si="76"/>
        <v>5800000</v>
      </c>
      <c r="M482" s="20"/>
      <c r="N482" s="20"/>
      <c r="P482" s="55"/>
      <c r="Q482" s="55"/>
      <c r="R482" s="14"/>
      <c r="S482" s="14"/>
    </row>
    <row r="483" spans="2:19" ht="12.95" hidden="1" customHeight="1" x14ac:dyDescent="0.25">
      <c r="B483" s="16">
        <v>42732</v>
      </c>
      <c r="C483" s="50" t="s">
        <v>472</v>
      </c>
      <c r="D483" s="34"/>
      <c r="E483" s="37">
        <v>2900000</v>
      </c>
      <c r="F483" s="37"/>
      <c r="G483" s="37">
        <f t="shared" si="74"/>
        <v>2900000</v>
      </c>
      <c r="H483" s="37">
        <v>0</v>
      </c>
      <c r="I483" s="37">
        <v>206808.34</v>
      </c>
      <c r="J483" s="37">
        <v>28014</v>
      </c>
      <c r="K483" s="18">
        <f t="shared" si="75"/>
        <v>2665177.66</v>
      </c>
      <c r="L483" s="19">
        <f t="shared" si="76"/>
        <v>2900000</v>
      </c>
      <c r="M483" s="20"/>
      <c r="N483" s="20"/>
      <c r="P483" s="55"/>
      <c r="Q483" s="55"/>
      <c r="R483" s="14"/>
      <c r="S483" s="14"/>
    </row>
    <row r="484" spans="2:19" ht="12.95" hidden="1" customHeight="1" x14ac:dyDescent="0.25">
      <c r="B484" s="16">
        <v>42797</v>
      </c>
      <c r="C484" s="50" t="s">
        <v>473</v>
      </c>
      <c r="D484" s="34"/>
      <c r="E484" s="37">
        <v>1546667</v>
      </c>
      <c r="F484" s="37"/>
      <c r="G484" s="37">
        <f t="shared" si="74"/>
        <v>1546667</v>
      </c>
      <c r="H484" s="64">
        <v>0</v>
      </c>
      <c r="I484" s="64">
        <v>0</v>
      </c>
      <c r="J484" s="64">
        <v>14940.8</v>
      </c>
      <c r="K484" s="18">
        <f t="shared" si="75"/>
        <v>1531726.2</v>
      </c>
      <c r="L484" s="19">
        <f t="shared" si="76"/>
        <v>1353333</v>
      </c>
      <c r="M484" s="20"/>
      <c r="N484" s="20"/>
      <c r="P484" s="55"/>
      <c r="Q484" s="55"/>
      <c r="R484" s="14"/>
      <c r="S484" s="14"/>
    </row>
    <row r="485" spans="2:19" ht="12.95" hidden="1" customHeight="1" x14ac:dyDescent="0.25">
      <c r="B485" s="16">
        <v>42797</v>
      </c>
      <c r="C485" s="50" t="s">
        <v>24</v>
      </c>
      <c r="D485" s="34"/>
      <c r="E485" s="37">
        <v>1353333</v>
      </c>
      <c r="F485" s="37"/>
      <c r="G485" s="37">
        <f t="shared" si="74"/>
        <v>1353333</v>
      </c>
      <c r="H485" s="64">
        <v>0</v>
      </c>
      <c r="I485" s="64">
        <v>0</v>
      </c>
      <c r="J485" s="64">
        <v>0</v>
      </c>
      <c r="K485" s="18">
        <f t="shared" si="75"/>
        <v>1353333</v>
      </c>
      <c r="L485" s="19">
        <f t="shared" si="76"/>
        <v>0</v>
      </c>
      <c r="M485" s="20"/>
      <c r="N485" s="20"/>
      <c r="P485" s="55"/>
      <c r="Q485" s="55"/>
      <c r="R485" s="14"/>
      <c r="S485" s="14"/>
    </row>
    <row r="486" spans="2:19" ht="12.95" hidden="1" customHeight="1" x14ac:dyDescent="0.25">
      <c r="B486" s="9" t="s">
        <v>474</v>
      </c>
      <c r="C486" s="10"/>
      <c r="D486" s="10">
        <v>24975000</v>
      </c>
      <c r="E486" s="11">
        <f>+D486</f>
        <v>24975000</v>
      </c>
      <c r="F486" s="272"/>
      <c r="G486" s="272"/>
      <c r="H486" s="272"/>
      <c r="I486" s="272"/>
      <c r="J486" s="272"/>
      <c r="K486" s="272"/>
      <c r="L486" s="11">
        <f>+D486</f>
        <v>24975000</v>
      </c>
      <c r="M486" s="12"/>
      <c r="N486" s="12"/>
      <c r="P486" s="55"/>
      <c r="Q486" s="55"/>
      <c r="R486" s="14"/>
      <c r="S486" s="14"/>
    </row>
    <row r="487" spans="2:19" ht="12.95" hidden="1" customHeight="1" x14ac:dyDescent="0.25">
      <c r="B487" s="16">
        <v>42646</v>
      </c>
      <c r="C487" s="50" t="s">
        <v>475</v>
      </c>
      <c r="D487" s="34"/>
      <c r="E487" s="37">
        <v>5550000</v>
      </c>
      <c r="F487" s="37"/>
      <c r="G487" s="37">
        <f t="shared" ref="G487:G492" si="77">+E487</f>
        <v>5550000</v>
      </c>
      <c r="H487" s="37"/>
      <c r="I487" s="37">
        <v>82933.100000000006</v>
      </c>
      <c r="J487" s="37">
        <v>47501.120000000003</v>
      </c>
      <c r="K487" s="18">
        <f t="shared" ref="K487:K492" si="78">+G487-I487-J487</f>
        <v>5419565.7800000003</v>
      </c>
      <c r="L487" s="19">
        <f t="shared" ref="L487:L492" si="79">+L486-G487</f>
        <v>19425000</v>
      </c>
      <c r="M487" s="20"/>
      <c r="N487" s="20"/>
      <c r="P487" s="55"/>
      <c r="Q487" s="55"/>
      <c r="R487" s="14"/>
      <c r="S487" s="14"/>
    </row>
    <row r="488" spans="2:19" ht="12.95" hidden="1" customHeight="1" x14ac:dyDescent="0.25">
      <c r="B488" s="16">
        <v>42671</v>
      </c>
      <c r="C488" s="50" t="s">
        <v>476</v>
      </c>
      <c r="D488" s="34"/>
      <c r="E488" s="37">
        <v>5550000</v>
      </c>
      <c r="F488" s="37"/>
      <c r="G488" s="37">
        <f t="shared" si="77"/>
        <v>5550000</v>
      </c>
      <c r="H488" s="37"/>
      <c r="I488" s="37">
        <v>253833.35</v>
      </c>
      <c r="J488" s="37">
        <v>53613</v>
      </c>
      <c r="K488" s="18">
        <f t="shared" si="78"/>
        <v>5242553.6500000004</v>
      </c>
      <c r="L488" s="19">
        <f t="shared" si="79"/>
        <v>13875000</v>
      </c>
      <c r="M488" s="20"/>
      <c r="N488" s="20"/>
      <c r="P488" s="55"/>
      <c r="Q488" s="55"/>
      <c r="R488" s="14"/>
      <c r="S488" s="14"/>
    </row>
    <row r="489" spans="2:19" ht="12.95" hidden="1" customHeight="1" x14ac:dyDescent="0.25">
      <c r="B489" s="16">
        <v>42703</v>
      </c>
      <c r="C489" s="50" t="s">
        <v>477</v>
      </c>
      <c r="D489" s="34"/>
      <c r="E489" s="49">
        <v>5550000</v>
      </c>
      <c r="F489" s="37"/>
      <c r="G489" s="37">
        <f t="shared" si="77"/>
        <v>5550000</v>
      </c>
      <c r="H489" s="37"/>
      <c r="I489" s="37">
        <v>253833.35</v>
      </c>
      <c r="J489" s="37">
        <v>53613</v>
      </c>
      <c r="K489" s="18">
        <f t="shared" si="78"/>
        <v>5242553.6500000004</v>
      </c>
      <c r="L489" s="19">
        <f t="shared" si="79"/>
        <v>8325000</v>
      </c>
      <c r="M489" s="20"/>
      <c r="N489" s="20"/>
      <c r="P489" s="55"/>
      <c r="Q489" s="55"/>
      <c r="R489" s="14"/>
      <c r="S489" s="14"/>
    </row>
    <row r="490" spans="2:19" ht="12.95" hidden="1" customHeight="1" x14ac:dyDescent="0.25">
      <c r="B490" s="16">
        <v>42732</v>
      </c>
      <c r="C490" s="50" t="s">
        <v>478</v>
      </c>
      <c r="D490" s="34"/>
      <c r="E490" s="49">
        <v>5550000</v>
      </c>
      <c r="F490" s="37"/>
      <c r="G490" s="37">
        <f t="shared" si="77"/>
        <v>5550000</v>
      </c>
      <c r="H490" s="37"/>
      <c r="I490" s="37">
        <v>253833.35</v>
      </c>
      <c r="J490" s="37">
        <v>53613</v>
      </c>
      <c r="K490" s="18">
        <f t="shared" si="78"/>
        <v>5242553.6500000004</v>
      </c>
      <c r="L490" s="19">
        <f t="shared" si="79"/>
        <v>2775000</v>
      </c>
      <c r="M490" s="20"/>
      <c r="N490" s="20"/>
      <c r="P490" s="55"/>
      <c r="Q490" s="55"/>
      <c r="R490" s="14"/>
      <c r="S490" s="14"/>
    </row>
    <row r="491" spans="2:19" ht="12.95" hidden="1" customHeight="1" x14ac:dyDescent="0.25">
      <c r="B491" s="16">
        <v>42755</v>
      </c>
      <c r="C491" s="50" t="s">
        <v>479</v>
      </c>
      <c r="D491" s="34"/>
      <c r="E491" s="49">
        <v>1850000</v>
      </c>
      <c r="F491" s="37"/>
      <c r="G491" s="37">
        <f t="shared" si="77"/>
        <v>1850000</v>
      </c>
      <c r="H491" s="37"/>
      <c r="I491" s="37"/>
      <c r="J491" s="37">
        <v>17871</v>
      </c>
      <c r="K491" s="18">
        <f t="shared" si="78"/>
        <v>1832129</v>
      </c>
      <c r="L491" s="19">
        <f t="shared" si="79"/>
        <v>925000</v>
      </c>
      <c r="M491" s="20"/>
      <c r="N491" s="20"/>
      <c r="P491" s="55"/>
      <c r="Q491" s="55"/>
      <c r="R491" s="14"/>
      <c r="S491" s="14"/>
    </row>
    <row r="492" spans="2:19" ht="12.95" hidden="1" customHeight="1" x14ac:dyDescent="0.25">
      <c r="B492" s="16">
        <v>42755</v>
      </c>
      <c r="C492" s="50" t="s">
        <v>24</v>
      </c>
      <c r="D492" s="34"/>
      <c r="E492" s="49">
        <v>925000</v>
      </c>
      <c r="F492" s="37"/>
      <c r="G492" s="37">
        <f t="shared" si="77"/>
        <v>925000</v>
      </c>
      <c r="H492" s="37"/>
      <c r="I492" s="37"/>
      <c r="J492" s="37">
        <v>0</v>
      </c>
      <c r="K492" s="18">
        <f t="shared" si="78"/>
        <v>925000</v>
      </c>
      <c r="L492" s="19">
        <f t="shared" si="79"/>
        <v>0</v>
      </c>
      <c r="M492" s="20"/>
      <c r="N492" s="20"/>
      <c r="P492" s="55"/>
      <c r="Q492" s="55"/>
      <c r="R492" s="14"/>
      <c r="S492" s="14"/>
    </row>
    <row r="493" spans="2:19" ht="12.95" hidden="1" customHeight="1" x14ac:dyDescent="0.25">
      <c r="B493" s="9" t="s">
        <v>480</v>
      </c>
      <c r="C493" s="10"/>
      <c r="D493" s="10">
        <v>32363333</v>
      </c>
      <c r="E493" s="11">
        <f>+D493</f>
        <v>32363333</v>
      </c>
      <c r="F493" s="272"/>
      <c r="G493" s="272"/>
      <c r="H493" s="272"/>
      <c r="I493" s="272"/>
      <c r="J493" s="272"/>
      <c r="K493" s="272"/>
      <c r="L493" s="11">
        <f>+D493</f>
        <v>32363333</v>
      </c>
      <c r="M493" s="12"/>
      <c r="N493" s="12"/>
      <c r="P493" s="55"/>
      <c r="Q493" s="55"/>
      <c r="R493" s="14"/>
      <c r="S493" s="14"/>
    </row>
    <row r="494" spans="2:19" ht="12.95" hidden="1" customHeight="1" x14ac:dyDescent="0.25">
      <c r="B494" s="16">
        <v>42663</v>
      </c>
      <c r="C494" s="50" t="s">
        <v>481</v>
      </c>
      <c r="D494" s="34"/>
      <c r="E494" s="37">
        <v>7300000</v>
      </c>
      <c r="F494" s="37"/>
      <c r="G494" s="37">
        <f>+E494</f>
        <v>7300000</v>
      </c>
      <c r="H494" s="37">
        <v>151034.54999999999</v>
      </c>
      <c r="I494" s="37">
        <v>300186.05</v>
      </c>
      <c r="J494" s="37">
        <v>57751.81</v>
      </c>
      <c r="K494" s="18">
        <f>+G494-I494-J494</f>
        <v>6942062.1400000006</v>
      </c>
      <c r="L494" s="19">
        <f>+L493-G494</f>
        <v>25063333</v>
      </c>
      <c r="M494" s="20"/>
      <c r="N494" s="20"/>
      <c r="P494" s="55"/>
      <c r="Q494" s="55"/>
      <c r="R494" s="14"/>
      <c r="S494" s="14"/>
    </row>
    <row r="495" spans="2:19" ht="12.95" hidden="1" customHeight="1" x14ac:dyDescent="0.25">
      <c r="B495" s="16">
        <v>42671</v>
      </c>
      <c r="C495" s="50" t="s">
        <v>482</v>
      </c>
      <c r="D495" s="34"/>
      <c r="E495" s="37">
        <v>7300000</v>
      </c>
      <c r="F495" s="37"/>
      <c r="G495" s="37">
        <f>+E495</f>
        <v>7300000</v>
      </c>
      <c r="H495" s="37">
        <v>151034.54999999999</v>
      </c>
      <c r="I495" s="37">
        <v>1252282.05</v>
      </c>
      <c r="J495" s="37">
        <v>57751.81</v>
      </c>
      <c r="K495" s="18">
        <f>+G495-I495-J495</f>
        <v>5989966.1400000006</v>
      </c>
      <c r="L495" s="19">
        <f>+L494-G495</f>
        <v>17763333</v>
      </c>
      <c r="M495" s="20"/>
      <c r="N495" s="20"/>
      <c r="P495" s="55"/>
      <c r="Q495" s="55"/>
      <c r="R495" s="14"/>
      <c r="S495" s="14"/>
    </row>
    <row r="496" spans="2:19" ht="12.95" hidden="1" customHeight="1" x14ac:dyDescent="0.25">
      <c r="B496" s="16">
        <v>42703</v>
      </c>
      <c r="C496" s="50" t="s">
        <v>483</v>
      </c>
      <c r="D496" s="34"/>
      <c r="E496" s="37">
        <v>7300000</v>
      </c>
      <c r="F496" s="37"/>
      <c r="G496" s="37">
        <f>+E496</f>
        <v>7300000</v>
      </c>
      <c r="H496" s="37">
        <v>151034.54999999999</v>
      </c>
      <c r="I496" s="37">
        <v>300186.05</v>
      </c>
      <c r="J496" s="37">
        <v>57751.81</v>
      </c>
      <c r="K496" s="18">
        <f>+G496-I496-J496</f>
        <v>6942062.1400000006</v>
      </c>
      <c r="L496" s="19">
        <f>+L495-G496</f>
        <v>10463333</v>
      </c>
      <c r="M496" s="20"/>
      <c r="N496" s="20"/>
      <c r="P496" s="55"/>
      <c r="Q496" s="55"/>
      <c r="R496" s="14"/>
      <c r="S496" s="14"/>
    </row>
    <row r="497" spans="2:19" ht="12.95" hidden="1" customHeight="1" x14ac:dyDescent="0.25">
      <c r="B497" s="16">
        <v>42733</v>
      </c>
      <c r="C497" s="50" t="s">
        <v>484</v>
      </c>
      <c r="D497" s="34"/>
      <c r="E497" s="37">
        <v>7300000</v>
      </c>
      <c r="F497" s="37"/>
      <c r="G497" s="37">
        <f>+E497</f>
        <v>7300000</v>
      </c>
      <c r="H497" s="37">
        <v>151034.54999999999</v>
      </c>
      <c r="I497" s="37">
        <v>300186.05</v>
      </c>
      <c r="J497" s="37">
        <v>57751.81</v>
      </c>
      <c r="K497" s="18">
        <f>+G497-I497-J497</f>
        <v>6942062.1400000006</v>
      </c>
      <c r="L497" s="19">
        <f>+L496-G497</f>
        <v>3163333</v>
      </c>
      <c r="M497" s="20"/>
      <c r="N497" s="20"/>
      <c r="P497" s="55"/>
      <c r="Q497" s="55"/>
      <c r="R497" s="14"/>
      <c r="S497" s="14"/>
    </row>
    <row r="498" spans="2:19" ht="12.95" hidden="1" customHeight="1" x14ac:dyDescent="0.25">
      <c r="B498" s="16">
        <v>42762</v>
      </c>
      <c r="C498" s="50" t="s">
        <v>485</v>
      </c>
      <c r="D498" s="34"/>
      <c r="E498" s="37">
        <v>3163333</v>
      </c>
      <c r="F498" s="37"/>
      <c r="G498" s="37">
        <f>+E498</f>
        <v>3163333</v>
      </c>
      <c r="H498" s="37">
        <v>65448.3</v>
      </c>
      <c r="I498" s="37">
        <v>0</v>
      </c>
      <c r="J498" s="37">
        <v>25025.78</v>
      </c>
      <c r="K498" s="18">
        <f>+G498-I498-J498-H498</f>
        <v>3072858.9200000004</v>
      </c>
      <c r="L498" s="19">
        <f>+L497-G498</f>
        <v>0</v>
      </c>
      <c r="M498" s="20"/>
      <c r="N498" s="20"/>
      <c r="P498" s="55"/>
      <c r="Q498" s="55"/>
      <c r="R498" s="14"/>
      <c r="S498" s="14"/>
    </row>
    <row r="499" spans="2:19" ht="12.95" hidden="1" customHeight="1" x14ac:dyDescent="0.25">
      <c r="B499" s="9" t="s">
        <v>486</v>
      </c>
      <c r="C499" s="10"/>
      <c r="D499" s="10">
        <v>43500000</v>
      </c>
      <c r="E499" s="11">
        <f>+D499</f>
        <v>43500000</v>
      </c>
      <c r="F499" s="273"/>
      <c r="G499" s="274"/>
      <c r="H499" s="274"/>
      <c r="I499" s="274"/>
      <c r="J499" s="274"/>
      <c r="K499" s="275"/>
      <c r="L499" s="11">
        <f>+D499</f>
        <v>43500000</v>
      </c>
      <c r="M499" s="12"/>
      <c r="N499" s="12"/>
      <c r="P499" s="55"/>
      <c r="Q499" s="55"/>
      <c r="R499" s="14"/>
      <c r="S499" s="14"/>
    </row>
    <row r="500" spans="2:19" ht="12.95" hidden="1" customHeight="1" x14ac:dyDescent="0.25">
      <c r="B500" s="16">
        <v>42646</v>
      </c>
      <c r="C500" s="50" t="s">
        <v>487</v>
      </c>
      <c r="D500" s="34"/>
      <c r="E500" s="37">
        <v>7000000</v>
      </c>
      <c r="F500" s="37"/>
      <c r="G500" s="37">
        <f>+E500</f>
        <v>7000000</v>
      </c>
      <c r="H500" s="37"/>
      <c r="I500" s="37">
        <v>486429.39</v>
      </c>
      <c r="J500" s="37">
        <v>67620</v>
      </c>
      <c r="K500" s="18">
        <f>+G500-I500-J500</f>
        <v>6445950.6100000003</v>
      </c>
      <c r="L500" s="19">
        <f>+L499-G500</f>
        <v>36500000</v>
      </c>
      <c r="M500" s="20"/>
      <c r="N500" s="20"/>
      <c r="P500" s="55"/>
      <c r="Q500" s="55"/>
      <c r="R500" s="14"/>
      <c r="S500" s="14"/>
    </row>
    <row r="501" spans="2:19" ht="12.95" hidden="1" customHeight="1" x14ac:dyDescent="0.25">
      <c r="B501" s="16">
        <v>42674</v>
      </c>
      <c r="C501" s="50" t="s">
        <v>488</v>
      </c>
      <c r="D501" s="34"/>
      <c r="E501" s="37">
        <v>7000000</v>
      </c>
      <c r="F501" s="37"/>
      <c r="G501" s="37">
        <f>+E501</f>
        <v>7000000</v>
      </c>
      <c r="H501" s="37"/>
      <c r="I501" s="37">
        <v>1441522.97</v>
      </c>
      <c r="J501" s="37">
        <v>67620</v>
      </c>
      <c r="K501" s="18">
        <f>+G501-I501-J501</f>
        <v>5490857.0300000003</v>
      </c>
      <c r="L501" s="19">
        <f>+L500-G501</f>
        <v>29500000</v>
      </c>
      <c r="M501" s="20"/>
      <c r="N501" s="20"/>
      <c r="P501" s="55"/>
      <c r="Q501" s="55"/>
      <c r="R501" s="14"/>
      <c r="S501" s="14"/>
    </row>
    <row r="502" spans="2:19" ht="12.95" hidden="1" customHeight="1" x14ac:dyDescent="0.25">
      <c r="B502" s="16">
        <v>42703</v>
      </c>
      <c r="C502" s="50" t="s">
        <v>489</v>
      </c>
      <c r="D502" s="34"/>
      <c r="E502" s="49">
        <v>7000000</v>
      </c>
      <c r="F502" s="37"/>
      <c r="G502" s="37">
        <f>+E502</f>
        <v>7000000</v>
      </c>
      <c r="H502" s="37"/>
      <c r="I502" s="37">
        <v>486429.39</v>
      </c>
      <c r="J502" s="37">
        <v>67620</v>
      </c>
      <c r="K502" s="18">
        <f>+G502-I502-J502</f>
        <v>6445950.6100000003</v>
      </c>
      <c r="L502" s="19">
        <f>+L501-G502</f>
        <v>22500000</v>
      </c>
      <c r="M502" s="20"/>
      <c r="N502" s="20"/>
      <c r="P502" s="55"/>
      <c r="Q502" s="55"/>
      <c r="R502" s="14"/>
      <c r="S502" s="14"/>
    </row>
    <row r="503" spans="2:19" ht="12.95" hidden="1" customHeight="1" x14ac:dyDescent="0.25">
      <c r="B503" s="16">
        <v>42731</v>
      </c>
      <c r="C503" s="50" t="s">
        <v>490</v>
      </c>
      <c r="D503" s="34"/>
      <c r="E503" s="49">
        <v>7000000</v>
      </c>
      <c r="F503" s="37"/>
      <c r="G503" s="37">
        <f>+E503</f>
        <v>7000000</v>
      </c>
      <c r="H503" s="37"/>
      <c r="I503" s="37">
        <v>487928.19</v>
      </c>
      <c r="J503" s="37">
        <v>67620</v>
      </c>
      <c r="K503" s="18">
        <f>+G503-I503-J503</f>
        <v>6444451.8099999996</v>
      </c>
      <c r="L503" s="19">
        <f>+L502-G503</f>
        <v>15500000</v>
      </c>
      <c r="M503" s="20"/>
      <c r="N503" s="20"/>
      <c r="P503" s="55"/>
      <c r="Q503" s="55"/>
      <c r="R503" s="14"/>
      <c r="S503" s="14"/>
    </row>
    <row r="504" spans="2:19" ht="12.95" hidden="1" customHeight="1" x14ac:dyDescent="0.25">
      <c r="B504" s="9" t="s">
        <v>491</v>
      </c>
      <c r="C504" s="10"/>
      <c r="D504" s="10">
        <v>26975000</v>
      </c>
      <c r="E504" s="11">
        <f>+D504</f>
        <v>26975000</v>
      </c>
      <c r="F504" s="273"/>
      <c r="G504" s="274"/>
      <c r="H504" s="274"/>
      <c r="I504" s="274"/>
      <c r="J504" s="274"/>
      <c r="K504" s="275"/>
      <c r="L504" s="11">
        <f>+D504</f>
        <v>26975000</v>
      </c>
      <c r="M504" s="12"/>
      <c r="N504" s="12"/>
      <c r="P504" s="55"/>
      <c r="Q504" s="55"/>
      <c r="R504" s="14"/>
      <c r="S504" s="14"/>
    </row>
    <row r="505" spans="2:19" ht="12.95" hidden="1" customHeight="1" x14ac:dyDescent="0.25">
      <c r="B505" s="16">
        <v>42649</v>
      </c>
      <c r="C505" s="50" t="s">
        <v>492</v>
      </c>
      <c r="D505" s="34"/>
      <c r="E505" s="37">
        <v>5550000</v>
      </c>
      <c r="F505" s="37"/>
      <c r="G505" s="37">
        <f>+E505</f>
        <v>5550000</v>
      </c>
      <c r="H505" s="37"/>
      <c r="I505" s="37">
        <v>253833.35</v>
      </c>
      <c r="J505" s="37">
        <v>53613</v>
      </c>
      <c r="K505" s="18">
        <f>+G505-I505-J505</f>
        <v>5242553.6500000004</v>
      </c>
      <c r="L505" s="19">
        <f>+L504-G505</f>
        <v>21425000</v>
      </c>
      <c r="M505" s="20"/>
      <c r="N505" s="20"/>
      <c r="P505" s="55"/>
      <c r="Q505" s="55"/>
      <c r="R505" s="14"/>
      <c r="S505" s="14"/>
    </row>
    <row r="506" spans="2:19" ht="12.95" hidden="1" customHeight="1" x14ac:dyDescent="0.25">
      <c r="B506" s="16">
        <v>42667</v>
      </c>
      <c r="C506" s="50" t="s">
        <v>493</v>
      </c>
      <c r="D506" s="34"/>
      <c r="E506" s="37">
        <v>5550000</v>
      </c>
      <c r="F506" s="37"/>
      <c r="G506" s="37">
        <f>+E506</f>
        <v>5550000</v>
      </c>
      <c r="H506" s="37"/>
      <c r="I506" s="37">
        <v>1125070.6599999999</v>
      </c>
      <c r="J506" s="37">
        <v>53613</v>
      </c>
      <c r="K506" s="18">
        <f>+G506-I506-J506</f>
        <v>4371316.34</v>
      </c>
      <c r="L506" s="19">
        <f>+L505-G506</f>
        <v>15875000</v>
      </c>
      <c r="M506" s="20"/>
      <c r="N506" s="20"/>
      <c r="P506" s="55"/>
      <c r="Q506" s="55"/>
      <c r="R506" s="14"/>
      <c r="S506" s="14"/>
    </row>
    <row r="507" spans="2:19" ht="12.95" hidden="1" customHeight="1" x14ac:dyDescent="0.25">
      <c r="B507" s="16">
        <v>42699</v>
      </c>
      <c r="C507" s="50" t="s">
        <v>494</v>
      </c>
      <c r="D507" s="34"/>
      <c r="E507" s="37">
        <v>5550000</v>
      </c>
      <c r="F507" s="37"/>
      <c r="G507" s="37">
        <f>+E507</f>
        <v>5550000</v>
      </c>
      <c r="H507" s="37"/>
      <c r="I507" s="37">
        <v>253833.35</v>
      </c>
      <c r="J507" s="37">
        <v>53613</v>
      </c>
      <c r="K507" s="18">
        <f>+G507-I507-J507</f>
        <v>5242553.6500000004</v>
      </c>
      <c r="L507" s="19">
        <f>+L506-G507</f>
        <v>10325000</v>
      </c>
      <c r="M507" s="20"/>
      <c r="N507" s="20"/>
      <c r="P507" s="55"/>
      <c r="Q507" s="55"/>
      <c r="R507" s="14"/>
      <c r="S507" s="14"/>
    </row>
    <row r="508" spans="2:19" ht="12.95" hidden="1" customHeight="1" x14ac:dyDescent="0.25">
      <c r="B508" s="16">
        <v>42732</v>
      </c>
      <c r="C508" s="50" t="s">
        <v>495</v>
      </c>
      <c r="D508" s="34"/>
      <c r="E508" s="37">
        <v>5550000</v>
      </c>
      <c r="F508" s="37"/>
      <c r="G508" s="37">
        <f>+E508</f>
        <v>5550000</v>
      </c>
      <c r="H508" s="37"/>
      <c r="I508" s="37">
        <v>253833.35</v>
      </c>
      <c r="J508" s="37">
        <v>53613</v>
      </c>
      <c r="K508" s="18">
        <f>+G508-I508-J508</f>
        <v>5242553.6500000004</v>
      </c>
      <c r="L508" s="19">
        <f>+L507-G508</f>
        <v>4775000</v>
      </c>
      <c r="M508" s="20"/>
      <c r="N508" s="20"/>
      <c r="P508" s="55"/>
      <c r="Q508" s="55"/>
      <c r="R508" s="14"/>
      <c r="S508" s="14"/>
    </row>
    <row r="509" spans="2:19" ht="12.95" hidden="1" customHeight="1" x14ac:dyDescent="0.25">
      <c r="B509" s="9" t="s">
        <v>496</v>
      </c>
      <c r="C509" s="10"/>
      <c r="D509" s="10">
        <f>325000000+130000000</f>
        <v>455000000</v>
      </c>
      <c r="E509" s="11">
        <f>+D509</f>
        <v>455000000</v>
      </c>
      <c r="F509" s="273"/>
      <c r="G509" s="274"/>
      <c r="H509" s="274"/>
      <c r="I509" s="274"/>
      <c r="J509" s="274"/>
      <c r="K509" s="275"/>
      <c r="L509" s="11">
        <f>+D509</f>
        <v>455000000</v>
      </c>
      <c r="M509" s="12"/>
      <c r="N509" s="12"/>
      <c r="P509" s="55"/>
      <c r="Q509" s="55"/>
      <c r="R509" s="14"/>
      <c r="S509" s="14"/>
    </row>
    <row r="510" spans="2:19" ht="12.95" hidden="1" customHeight="1" x14ac:dyDescent="0.25">
      <c r="B510" s="16">
        <v>42670</v>
      </c>
      <c r="C510" s="50" t="s">
        <v>497</v>
      </c>
      <c r="D510" s="34"/>
      <c r="E510" s="37">
        <v>150000000</v>
      </c>
      <c r="F510" s="37"/>
      <c r="G510" s="37">
        <f>+E510</f>
        <v>150000000</v>
      </c>
      <c r="H510" s="37"/>
      <c r="I510" s="37">
        <v>0</v>
      </c>
      <c r="J510" s="37">
        <v>0</v>
      </c>
      <c r="K510" s="18">
        <f>+G510-I510-J510</f>
        <v>150000000</v>
      </c>
      <c r="L510" s="19">
        <f>+L509-G510</f>
        <v>305000000</v>
      </c>
      <c r="M510" s="20"/>
      <c r="N510" s="20"/>
      <c r="P510" s="55"/>
      <c r="Q510" s="55"/>
      <c r="R510" s="14"/>
      <c r="S510" s="14"/>
    </row>
    <row r="511" spans="2:19" ht="12.95" hidden="1" customHeight="1" x14ac:dyDescent="0.25">
      <c r="B511" s="16">
        <v>42818</v>
      </c>
      <c r="C511" s="50" t="s">
        <v>498</v>
      </c>
      <c r="D511" s="34"/>
      <c r="E511" s="77">
        <v>90000000</v>
      </c>
      <c r="F511" s="37"/>
      <c r="G511" s="37">
        <f>+E511</f>
        <v>90000000</v>
      </c>
      <c r="H511" s="37"/>
      <c r="I511" s="37">
        <v>0</v>
      </c>
      <c r="J511" s="37">
        <v>0</v>
      </c>
      <c r="K511" s="18">
        <f>+G511-I511-J511</f>
        <v>90000000</v>
      </c>
      <c r="L511" s="19">
        <f>+L510-G511</f>
        <v>215000000</v>
      </c>
      <c r="M511" s="20"/>
      <c r="N511" s="20"/>
      <c r="P511" s="55"/>
      <c r="Q511" s="55"/>
      <c r="R511" s="14"/>
      <c r="S511" s="14"/>
    </row>
    <row r="512" spans="2:19" ht="12.95" hidden="1" customHeight="1" x14ac:dyDescent="0.25">
      <c r="B512" s="16">
        <v>42860</v>
      </c>
      <c r="C512" s="50" t="s">
        <v>499</v>
      </c>
      <c r="D512" s="34"/>
      <c r="E512" s="78">
        <v>215000000</v>
      </c>
      <c r="F512" s="37"/>
      <c r="G512" s="37">
        <f>+E512</f>
        <v>215000000</v>
      </c>
      <c r="H512" s="37"/>
      <c r="I512" s="37">
        <v>0</v>
      </c>
      <c r="J512" s="37">
        <v>0</v>
      </c>
      <c r="K512" s="18">
        <f>+G512-I512-J512</f>
        <v>215000000</v>
      </c>
      <c r="L512" s="19">
        <f>+L511-G512</f>
        <v>0</v>
      </c>
      <c r="M512" s="20"/>
      <c r="N512" s="20"/>
      <c r="P512" s="55"/>
      <c r="Q512" s="55"/>
      <c r="R512" s="14"/>
      <c r="S512" s="14"/>
    </row>
    <row r="513" spans="2:19" ht="12.95" hidden="1" customHeight="1" x14ac:dyDescent="0.25">
      <c r="B513" s="9" t="s">
        <v>500</v>
      </c>
      <c r="C513" s="10"/>
      <c r="D513" s="10">
        <v>13050000</v>
      </c>
      <c r="E513" s="11">
        <f>+D513</f>
        <v>13050000</v>
      </c>
      <c r="F513" s="272"/>
      <c r="G513" s="272"/>
      <c r="H513" s="272"/>
      <c r="I513" s="272"/>
      <c r="J513" s="272"/>
      <c r="K513" s="272"/>
      <c r="L513" s="11">
        <f>+D513</f>
        <v>13050000</v>
      </c>
      <c r="M513" s="12"/>
      <c r="N513" s="12"/>
      <c r="P513" s="55"/>
      <c r="Q513" s="55"/>
      <c r="R513" s="14"/>
      <c r="S513" s="14"/>
    </row>
    <row r="514" spans="2:19" ht="12.95" hidden="1" customHeight="1" x14ac:dyDescent="0.25">
      <c r="B514" s="16">
        <v>42646</v>
      </c>
      <c r="C514" s="50" t="s">
        <v>501</v>
      </c>
      <c r="D514" s="34"/>
      <c r="E514" s="37">
        <v>2900000</v>
      </c>
      <c r="F514" s="37"/>
      <c r="G514" s="37">
        <f t="shared" ref="G514:G519" si="80">+E514</f>
        <v>2900000</v>
      </c>
      <c r="H514" s="37">
        <v>0</v>
      </c>
      <c r="I514" s="37">
        <v>0</v>
      </c>
      <c r="J514" s="37">
        <v>24820.400000000001</v>
      </c>
      <c r="K514" s="18">
        <f t="shared" ref="K514:K519" si="81">+G514-I514-J514</f>
        <v>2875179.6</v>
      </c>
      <c r="L514" s="19">
        <f t="shared" ref="L514:L519" si="82">+L513-G514</f>
        <v>10150000</v>
      </c>
      <c r="M514" s="20"/>
      <c r="N514" s="20"/>
      <c r="P514" s="55"/>
      <c r="Q514" s="55"/>
      <c r="R514" s="14"/>
      <c r="S514" s="14"/>
    </row>
    <row r="515" spans="2:19" ht="12.95" hidden="1" customHeight="1" x14ac:dyDescent="0.25">
      <c r="B515" s="16">
        <v>42671</v>
      </c>
      <c r="C515" s="50" t="s">
        <v>502</v>
      </c>
      <c r="D515" s="34"/>
      <c r="E515" s="37">
        <v>2900000</v>
      </c>
      <c r="F515" s="37"/>
      <c r="G515" s="37">
        <f t="shared" si="80"/>
        <v>2900000</v>
      </c>
      <c r="H515" s="37">
        <v>0</v>
      </c>
      <c r="I515" s="37">
        <v>0</v>
      </c>
      <c r="J515" s="37">
        <v>24820.400000000001</v>
      </c>
      <c r="K515" s="18">
        <f t="shared" si="81"/>
        <v>2875179.6</v>
      </c>
      <c r="L515" s="19">
        <f t="shared" si="82"/>
        <v>7250000</v>
      </c>
      <c r="M515" s="20"/>
      <c r="N515" s="20"/>
      <c r="P515" s="55"/>
      <c r="Q515" s="55"/>
      <c r="R515" s="14"/>
      <c r="S515" s="14"/>
    </row>
    <row r="516" spans="2:19" ht="12.95" hidden="1" customHeight="1" x14ac:dyDescent="0.25">
      <c r="B516" s="16">
        <v>42703</v>
      </c>
      <c r="C516" s="50" t="s">
        <v>503</v>
      </c>
      <c r="D516" s="34"/>
      <c r="E516" s="37">
        <v>2900000</v>
      </c>
      <c r="F516" s="37"/>
      <c r="G516" s="37">
        <f t="shared" si="80"/>
        <v>2900000</v>
      </c>
      <c r="H516" s="37">
        <v>0</v>
      </c>
      <c r="I516" s="37"/>
      <c r="J516" s="37">
        <v>24820.400000000001</v>
      </c>
      <c r="K516" s="18">
        <f t="shared" si="81"/>
        <v>2875179.6</v>
      </c>
      <c r="L516" s="19">
        <f t="shared" si="82"/>
        <v>4350000</v>
      </c>
      <c r="M516" s="20"/>
      <c r="N516" s="20"/>
      <c r="P516" s="55"/>
      <c r="Q516" s="55"/>
      <c r="R516" s="14"/>
      <c r="S516" s="14"/>
    </row>
    <row r="517" spans="2:19" ht="12.95" hidden="1" customHeight="1" x14ac:dyDescent="0.25">
      <c r="B517" s="16">
        <v>42733</v>
      </c>
      <c r="C517" s="50" t="s">
        <v>504</v>
      </c>
      <c r="D517" s="34"/>
      <c r="E517" s="37">
        <v>2900000</v>
      </c>
      <c r="F517" s="37"/>
      <c r="G517" s="37">
        <f t="shared" si="80"/>
        <v>2900000</v>
      </c>
      <c r="H517" s="37">
        <v>0</v>
      </c>
      <c r="I517" s="37"/>
      <c r="J517" s="37">
        <v>24820.400000000001</v>
      </c>
      <c r="K517" s="18">
        <f t="shared" si="81"/>
        <v>2875179.6</v>
      </c>
      <c r="L517" s="19">
        <f t="shared" si="82"/>
        <v>1450000</v>
      </c>
      <c r="M517" s="20"/>
      <c r="N517" s="20"/>
      <c r="P517" s="55"/>
      <c r="Q517" s="55"/>
      <c r="R517" s="14"/>
      <c r="S517" s="14"/>
    </row>
    <row r="518" spans="2:19" ht="12.95" hidden="1" customHeight="1" x14ac:dyDescent="0.25">
      <c r="B518" s="16">
        <v>42759</v>
      </c>
      <c r="C518" s="50" t="s">
        <v>505</v>
      </c>
      <c r="D518" s="34"/>
      <c r="E518" s="37">
        <v>966666.67</v>
      </c>
      <c r="F518" s="37"/>
      <c r="G518" s="37">
        <f t="shared" si="80"/>
        <v>966666.67</v>
      </c>
      <c r="H518" s="37">
        <v>0</v>
      </c>
      <c r="I518" s="37"/>
      <c r="J518" s="37">
        <v>8273.4699999999993</v>
      </c>
      <c r="K518" s="18">
        <f t="shared" si="81"/>
        <v>958393.20000000007</v>
      </c>
      <c r="L518" s="19">
        <f t="shared" si="82"/>
        <v>483333.32999999996</v>
      </c>
      <c r="M518" s="20"/>
      <c r="N518" s="20"/>
      <c r="P518" s="55"/>
      <c r="Q518" s="55"/>
      <c r="R518" s="14"/>
      <c r="S518" s="14"/>
    </row>
    <row r="519" spans="2:19" ht="12.95" hidden="1" customHeight="1" x14ac:dyDescent="0.25">
      <c r="B519" s="16">
        <v>42759</v>
      </c>
      <c r="C519" s="50" t="s">
        <v>24</v>
      </c>
      <c r="D519" s="34"/>
      <c r="E519" s="66">
        <v>483333.33</v>
      </c>
      <c r="F519" s="37"/>
      <c r="G519" s="37">
        <f t="shared" si="80"/>
        <v>483333.33</v>
      </c>
      <c r="H519" s="37">
        <v>0</v>
      </c>
      <c r="I519" s="37"/>
      <c r="J519" s="37"/>
      <c r="K519" s="18">
        <f t="shared" si="81"/>
        <v>483333.33</v>
      </c>
      <c r="L519" s="19">
        <f t="shared" si="82"/>
        <v>0</v>
      </c>
      <c r="M519" s="20"/>
      <c r="N519" s="20"/>
      <c r="P519" s="55"/>
      <c r="Q519" s="55"/>
      <c r="R519" s="14"/>
      <c r="S519" s="14"/>
    </row>
    <row r="520" spans="2:19" ht="12.95" hidden="1" customHeight="1" x14ac:dyDescent="0.25">
      <c r="B520" s="9" t="s">
        <v>506</v>
      </c>
      <c r="C520" s="10"/>
      <c r="D520" s="10">
        <v>25850000</v>
      </c>
      <c r="E520" s="11">
        <f>+D520</f>
        <v>25850000</v>
      </c>
      <c r="F520" s="272"/>
      <c r="G520" s="272"/>
      <c r="H520" s="272"/>
      <c r="I520" s="272"/>
      <c r="J520" s="272"/>
      <c r="K520" s="272"/>
      <c r="L520" s="11">
        <f>+D520</f>
        <v>25850000</v>
      </c>
      <c r="M520" s="12"/>
      <c r="N520" s="12"/>
      <c r="P520" s="55"/>
      <c r="Q520" s="55"/>
      <c r="R520" s="14"/>
      <c r="S520" s="14"/>
    </row>
    <row r="521" spans="2:19" ht="12.95" hidden="1" customHeight="1" x14ac:dyDescent="0.25">
      <c r="B521" s="16">
        <v>42647</v>
      </c>
      <c r="C521" s="50" t="s">
        <v>507</v>
      </c>
      <c r="D521" s="34"/>
      <c r="E521" s="37">
        <v>4700000</v>
      </c>
      <c r="F521" s="37"/>
      <c r="G521" s="37">
        <f t="shared" ref="G521:G526" si="83">+E521</f>
        <v>4700000</v>
      </c>
      <c r="H521" s="37"/>
      <c r="I521" s="37">
        <v>54960.34</v>
      </c>
      <c r="J521" s="37">
        <v>40226.17</v>
      </c>
      <c r="K521" s="18">
        <f t="shared" ref="K521:K526" si="84">+G521-I521-J521</f>
        <v>4604813.49</v>
      </c>
      <c r="L521" s="19">
        <f t="shared" ref="L521:L526" si="85">+L520-G521</f>
        <v>21150000</v>
      </c>
      <c r="M521" s="20"/>
      <c r="N521" s="20"/>
      <c r="P521" s="55"/>
      <c r="Q521" s="55"/>
      <c r="R521" s="14"/>
      <c r="S521" s="14"/>
    </row>
    <row r="522" spans="2:19" ht="12.95" hidden="1" customHeight="1" x14ac:dyDescent="0.25">
      <c r="B522" s="16">
        <v>42671</v>
      </c>
      <c r="C522" s="50" t="s">
        <v>508</v>
      </c>
      <c r="D522" s="34"/>
      <c r="E522" s="37">
        <v>4700000</v>
      </c>
      <c r="F522" s="37"/>
      <c r="G522" s="37">
        <f t="shared" si="83"/>
        <v>4700000</v>
      </c>
      <c r="H522" s="37"/>
      <c r="I522" s="37">
        <v>737791.66</v>
      </c>
      <c r="J522" s="37">
        <v>40226.17</v>
      </c>
      <c r="K522" s="18">
        <f t="shared" si="84"/>
        <v>3921982.17</v>
      </c>
      <c r="L522" s="19">
        <f t="shared" si="85"/>
        <v>16450000</v>
      </c>
      <c r="M522" s="20"/>
      <c r="N522" s="20"/>
      <c r="P522" s="55"/>
      <c r="Q522" s="55"/>
      <c r="R522" s="14"/>
      <c r="S522" s="14"/>
    </row>
    <row r="523" spans="2:19" ht="12.95" hidden="1" customHeight="1" x14ac:dyDescent="0.25">
      <c r="B523" s="16">
        <v>42703</v>
      </c>
      <c r="C523" s="50" t="s">
        <v>509</v>
      </c>
      <c r="D523" s="34"/>
      <c r="E523" s="49">
        <v>4700000</v>
      </c>
      <c r="F523" s="37"/>
      <c r="G523" s="37">
        <f t="shared" si="83"/>
        <v>4700000</v>
      </c>
      <c r="H523" s="37"/>
      <c r="I523" s="37">
        <v>54960.34</v>
      </c>
      <c r="J523" s="37">
        <v>40226.17</v>
      </c>
      <c r="K523" s="18">
        <f t="shared" si="84"/>
        <v>4604813.49</v>
      </c>
      <c r="L523" s="19">
        <f t="shared" si="85"/>
        <v>11750000</v>
      </c>
      <c r="M523" s="20"/>
      <c r="N523" s="20"/>
      <c r="P523" s="55"/>
      <c r="Q523" s="55"/>
      <c r="R523" s="14"/>
      <c r="S523" s="14"/>
    </row>
    <row r="524" spans="2:19" ht="12.95" hidden="1" customHeight="1" x14ac:dyDescent="0.25">
      <c r="B524" s="16">
        <v>42724</v>
      </c>
      <c r="C524" s="50" t="s">
        <v>510</v>
      </c>
      <c r="D524" s="34"/>
      <c r="E524" s="49">
        <v>4700000</v>
      </c>
      <c r="F524" s="37"/>
      <c r="G524" s="37">
        <f t="shared" si="83"/>
        <v>4700000</v>
      </c>
      <c r="H524" s="37"/>
      <c r="I524" s="37">
        <v>54960.34</v>
      </c>
      <c r="J524" s="37">
        <v>40226.17</v>
      </c>
      <c r="K524" s="18">
        <f t="shared" si="84"/>
        <v>4604813.49</v>
      </c>
      <c r="L524" s="19">
        <f t="shared" si="85"/>
        <v>7050000</v>
      </c>
      <c r="M524" s="20"/>
      <c r="N524" s="20"/>
      <c r="P524" s="55"/>
      <c r="Q524" s="55"/>
      <c r="R524" s="14"/>
      <c r="S524" s="14"/>
    </row>
    <row r="525" spans="2:19" ht="12.95" hidden="1" customHeight="1" x14ac:dyDescent="0.25">
      <c r="B525" s="16">
        <v>42762</v>
      </c>
      <c r="C525" s="50" t="s">
        <v>511</v>
      </c>
      <c r="D525" s="34"/>
      <c r="E525" s="49">
        <v>3133333</v>
      </c>
      <c r="F525" s="37"/>
      <c r="G525" s="37">
        <f t="shared" si="83"/>
        <v>3133333</v>
      </c>
      <c r="H525" s="37"/>
      <c r="I525" s="37">
        <v>0</v>
      </c>
      <c r="J525" s="37">
        <v>26817.45</v>
      </c>
      <c r="K525" s="18">
        <f t="shared" si="84"/>
        <v>3106515.55</v>
      </c>
      <c r="L525" s="19">
        <f t="shared" si="85"/>
        <v>3916667</v>
      </c>
      <c r="M525" s="20"/>
      <c r="N525" s="20"/>
      <c r="P525" s="55"/>
      <c r="Q525" s="55"/>
      <c r="R525" s="14"/>
      <c r="S525" s="14"/>
    </row>
    <row r="526" spans="2:19" ht="12.95" hidden="1" customHeight="1" x14ac:dyDescent="0.25">
      <c r="B526" s="16">
        <v>42762</v>
      </c>
      <c r="C526" s="55" t="s">
        <v>166</v>
      </c>
      <c r="D526" s="34"/>
      <c r="E526" s="49">
        <v>3916667</v>
      </c>
      <c r="F526" s="37"/>
      <c r="G526" s="37">
        <f t="shared" si="83"/>
        <v>3916667</v>
      </c>
      <c r="H526" s="37"/>
      <c r="I526" s="37">
        <v>0</v>
      </c>
      <c r="J526" s="55">
        <v>0</v>
      </c>
      <c r="K526" s="18">
        <f t="shared" si="84"/>
        <v>3916667</v>
      </c>
      <c r="L526" s="19">
        <f t="shared" si="85"/>
        <v>0</v>
      </c>
      <c r="M526" s="20"/>
      <c r="N526" s="20"/>
      <c r="P526" s="55"/>
      <c r="Q526" s="55"/>
      <c r="R526" s="14"/>
      <c r="S526" s="14"/>
    </row>
    <row r="527" spans="2:19" ht="12.95" hidden="1" customHeight="1" x14ac:dyDescent="0.25">
      <c r="B527" s="9" t="s">
        <v>512</v>
      </c>
      <c r="C527" s="10"/>
      <c r="D527" s="10">
        <v>350000000</v>
      </c>
      <c r="E527" s="11">
        <f>+D527</f>
        <v>350000000</v>
      </c>
      <c r="F527" s="273"/>
      <c r="G527" s="274"/>
      <c r="H527" s="274"/>
      <c r="I527" s="274"/>
      <c r="J527" s="274"/>
      <c r="K527" s="275"/>
      <c r="L527" s="11">
        <f>+D527</f>
        <v>350000000</v>
      </c>
      <c r="M527" s="12"/>
      <c r="N527" s="12"/>
      <c r="P527" s="55"/>
      <c r="Q527" s="55"/>
      <c r="R527" s="14"/>
      <c r="S527" s="14"/>
    </row>
    <row r="528" spans="2:19" ht="12.95" hidden="1" customHeight="1" x14ac:dyDescent="0.25">
      <c r="B528" s="16">
        <v>42697</v>
      </c>
      <c r="C528" s="50" t="s">
        <v>513</v>
      </c>
      <c r="D528" s="34"/>
      <c r="E528" s="37">
        <v>157499987.05000001</v>
      </c>
      <c r="F528" s="37"/>
      <c r="G528" s="37">
        <f>+E528</f>
        <v>157499987.05000001</v>
      </c>
      <c r="H528" s="37"/>
      <c r="I528" s="37">
        <v>0</v>
      </c>
      <c r="J528" s="37">
        <v>0</v>
      </c>
      <c r="K528" s="18">
        <f>+G528-I528-J528</f>
        <v>157499987.05000001</v>
      </c>
      <c r="L528" s="19">
        <f>+L527-G528</f>
        <v>192500012.94999999</v>
      </c>
      <c r="M528" s="20"/>
      <c r="N528" s="20"/>
      <c r="P528" s="55"/>
      <c r="Q528" s="55"/>
      <c r="R528" s="14"/>
      <c r="S528" s="14"/>
    </row>
    <row r="529" spans="2:19" ht="12.95" hidden="1" customHeight="1" x14ac:dyDescent="0.25">
      <c r="B529" s="16">
        <v>42800</v>
      </c>
      <c r="C529" s="50" t="s">
        <v>514</v>
      </c>
      <c r="D529" s="34"/>
      <c r="E529" s="76">
        <v>157499980.53999999</v>
      </c>
      <c r="F529" s="37"/>
      <c r="G529" s="37">
        <f>+E529</f>
        <v>157499980.53999999</v>
      </c>
      <c r="H529" s="37"/>
      <c r="I529" s="37">
        <v>0</v>
      </c>
      <c r="J529" s="37">
        <v>0</v>
      </c>
      <c r="K529" s="18">
        <f>+G529-I529-J529</f>
        <v>157499980.53999999</v>
      </c>
      <c r="L529" s="19">
        <f>+L528-G529</f>
        <v>35000032.409999996</v>
      </c>
      <c r="M529" s="20"/>
      <c r="N529" s="20"/>
      <c r="P529" s="55"/>
      <c r="Q529" s="55"/>
      <c r="R529" s="14"/>
      <c r="S529" s="14"/>
    </row>
    <row r="530" spans="2:19" ht="12.95" hidden="1" customHeight="1" x14ac:dyDescent="0.25">
      <c r="B530" s="16">
        <v>43004</v>
      </c>
      <c r="C530" s="50" t="s">
        <v>515</v>
      </c>
      <c r="D530" s="34"/>
      <c r="E530" s="76">
        <v>34999996.200000003</v>
      </c>
      <c r="F530" s="37"/>
      <c r="G530" s="37">
        <f>+E530</f>
        <v>34999996.200000003</v>
      </c>
      <c r="H530" s="37"/>
      <c r="I530" s="37">
        <v>0</v>
      </c>
      <c r="J530" s="37">
        <v>0</v>
      </c>
      <c r="K530" s="18">
        <f>+G530-I530-J530</f>
        <v>34999996.200000003</v>
      </c>
      <c r="L530" s="19">
        <f>+L529-G530</f>
        <v>36.209999993443489</v>
      </c>
      <c r="M530" s="20"/>
      <c r="N530" s="20"/>
      <c r="P530" s="55"/>
      <c r="Q530" s="55"/>
      <c r="R530" s="14"/>
      <c r="S530" s="14"/>
    </row>
    <row r="531" spans="2:19" ht="12.95" hidden="1" customHeight="1" x14ac:dyDescent="0.25">
      <c r="B531" s="9" t="s">
        <v>516</v>
      </c>
      <c r="C531" s="10"/>
      <c r="D531" s="10">
        <v>9250000</v>
      </c>
      <c r="E531" s="11">
        <f>+D531</f>
        <v>9250000</v>
      </c>
      <c r="F531" s="272"/>
      <c r="G531" s="272"/>
      <c r="H531" s="272"/>
      <c r="I531" s="272"/>
      <c r="J531" s="272"/>
      <c r="K531" s="272"/>
      <c r="L531" s="11">
        <f>+D531</f>
        <v>9250000</v>
      </c>
      <c r="M531" s="12"/>
      <c r="N531" s="12"/>
      <c r="P531" s="55"/>
      <c r="Q531" s="55"/>
      <c r="R531" s="14"/>
      <c r="S531" s="14"/>
    </row>
    <row r="532" spans="2:19" ht="12.95" hidden="1" customHeight="1" x14ac:dyDescent="0.25">
      <c r="B532" s="16">
        <v>42703</v>
      </c>
      <c r="C532" s="50" t="s">
        <v>517</v>
      </c>
      <c r="D532" s="34"/>
      <c r="E532" s="37">
        <v>3700000</v>
      </c>
      <c r="F532" s="37"/>
      <c r="G532" s="37">
        <f>+E532</f>
        <v>3700000</v>
      </c>
      <c r="H532" s="37"/>
      <c r="I532" s="37"/>
      <c r="J532" s="37">
        <v>31667.41</v>
      </c>
      <c r="K532" s="18">
        <f>+G532-I532-J532</f>
        <v>3668332.59</v>
      </c>
      <c r="L532" s="19">
        <f>+L531-G532</f>
        <v>5550000</v>
      </c>
      <c r="M532" s="20"/>
      <c r="N532" s="20"/>
      <c r="P532" s="55"/>
      <c r="Q532" s="55"/>
      <c r="R532" s="14"/>
      <c r="S532" s="14"/>
    </row>
    <row r="533" spans="2:19" ht="12.95" hidden="1" customHeight="1" x14ac:dyDescent="0.25">
      <c r="B533" s="16">
        <v>42732</v>
      </c>
      <c r="C533" s="50" t="s">
        <v>518</v>
      </c>
      <c r="D533" s="34"/>
      <c r="E533" s="37">
        <v>3700000</v>
      </c>
      <c r="F533" s="37"/>
      <c r="G533" s="37">
        <f>+E533</f>
        <v>3700000</v>
      </c>
      <c r="H533" s="37"/>
      <c r="I533" s="37"/>
      <c r="J533" s="37">
        <v>31667.41</v>
      </c>
      <c r="K533" s="18">
        <f>+G533-I533-J533</f>
        <v>3668332.59</v>
      </c>
      <c r="L533" s="19">
        <f>+L532-G533</f>
        <v>1850000</v>
      </c>
      <c r="M533" s="20"/>
      <c r="N533" s="20"/>
      <c r="P533" s="55"/>
      <c r="Q533" s="55"/>
      <c r="R533" s="14"/>
      <c r="S533" s="14"/>
    </row>
    <row r="534" spans="2:19" ht="12.95" hidden="1" customHeight="1" x14ac:dyDescent="0.25">
      <c r="B534" s="16">
        <v>42762</v>
      </c>
      <c r="C534" s="50" t="s">
        <v>519</v>
      </c>
      <c r="D534" s="34"/>
      <c r="E534" s="37">
        <v>1603333</v>
      </c>
      <c r="F534" s="37"/>
      <c r="G534" s="37">
        <f>+E534</f>
        <v>1603333</v>
      </c>
      <c r="H534" s="37"/>
      <c r="I534" s="37"/>
      <c r="J534" s="37">
        <v>13722.54</v>
      </c>
      <c r="K534" s="18">
        <f>+G534-I534-J534</f>
        <v>1589610.46</v>
      </c>
      <c r="L534" s="19">
        <f>+L533-G534</f>
        <v>246667</v>
      </c>
      <c r="M534" s="20"/>
      <c r="N534" s="20"/>
      <c r="P534" s="55"/>
      <c r="Q534" s="55"/>
      <c r="R534" s="14"/>
      <c r="S534" s="14"/>
    </row>
    <row r="535" spans="2:19" ht="12.95" hidden="1" customHeight="1" x14ac:dyDescent="0.25">
      <c r="B535" s="16">
        <v>42762</v>
      </c>
      <c r="C535" s="50" t="s">
        <v>24</v>
      </c>
      <c r="D535" s="34"/>
      <c r="E535" s="37">
        <v>246667</v>
      </c>
      <c r="F535" s="37"/>
      <c r="G535" s="37">
        <f>+E535</f>
        <v>246667</v>
      </c>
      <c r="H535" s="37">
        <v>0</v>
      </c>
      <c r="I535" s="37">
        <v>0</v>
      </c>
      <c r="J535" s="37">
        <v>0</v>
      </c>
      <c r="K535" s="18">
        <v>0</v>
      </c>
      <c r="L535" s="19">
        <f>+L534-G535</f>
        <v>0</v>
      </c>
      <c r="M535" s="20"/>
      <c r="N535" s="20"/>
      <c r="P535" s="55"/>
      <c r="Q535" s="55"/>
      <c r="R535" s="14"/>
      <c r="S535" s="14"/>
    </row>
    <row r="536" spans="2:19" ht="12.95" hidden="1" customHeight="1" x14ac:dyDescent="0.25">
      <c r="B536" s="9" t="s">
        <v>520</v>
      </c>
      <c r="C536" s="10"/>
      <c r="D536" s="10">
        <v>14850000</v>
      </c>
      <c r="E536" s="11">
        <f>+D536</f>
        <v>14850000</v>
      </c>
      <c r="F536" s="272"/>
      <c r="G536" s="272"/>
      <c r="H536" s="272"/>
      <c r="I536" s="272"/>
      <c r="J536" s="272"/>
      <c r="K536" s="272"/>
      <c r="L536" s="11">
        <f>+D536</f>
        <v>14850000</v>
      </c>
      <c r="M536" s="12"/>
      <c r="N536" s="12"/>
      <c r="P536" s="55"/>
      <c r="Q536" s="55"/>
      <c r="R536" s="14"/>
      <c r="S536" s="14"/>
    </row>
    <row r="537" spans="2:19" ht="12.95" hidden="1" customHeight="1" x14ac:dyDescent="0.25">
      <c r="B537" s="16">
        <v>42706</v>
      </c>
      <c r="C537" s="50" t="s">
        <v>521</v>
      </c>
      <c r="D537" s="34"/>
      <c r="E537" s="37">
        <v>4500000</v>
      </c>
      <c r="F537" s="37"/>
      <c r="G537" s="37">
        <f>+E537</f>
        <v>4500000</v>
      </c>
      <c r="H537" s="37"/>
      <c r="I537" s="37">
        <v>104208.34</v>
      </c>
      <c r="J537" s="37">
        <v>43470</v>
      </c>
      <c r="K537" s="18">
        <f>+G537-I537-J537</f>
        <v>4352321.66</v>
      </c>
      <c r="L537" s="19">
        <f>+L536-G537</f>
        <v>10350000</v>
      </c>
      <c r="M537" s="20"/>
      <c r="N537" s="20"/>
      <c r="P537" s="55"/>
      <c r="Q537" s="55"/>
      <c r="R537" s="14"/>
      <c r="S537" s="14"/>
    </row>
    <row r="538" spans="2:19" ht="12.95" hidden="1" customHeight="1" x14ac:dyDescent="0.25">
      <c r="B538" s="16">
        <v>42733</v>
      </c>
      <c r="C538" s="50" t="s">
        <v>522</v>
      </c>
      <c r="D538" s="34"/>
      <c r="E538" s="37">
        <v>4500000</v>
      </c>
      <c r="F538" s="37"/>
      <c r="G538" s="37">
        <f>+E538</f>
        <v>4500000</v>
      </c>
      <c r="H538" s="37"/>
      <c r="I538" s="37">
        <v>833695.66</v>
      </c>
      <c r="J538" s="37">
        <v>43470</v>
      </c>
      <c r="K538" s="18">
        <f>+G538-I538-J538</f>
        <v>3622834.34</v>
      </c>
      <c r="L538" s="19">
        <f>+L537-G538</f>
        <v>5850000</v>
      </c>
      <c r="M538" s="20"/>
      <c r="N538" s="20"/>
      <c r="P538" s="55"/>
      <c r="Q538" s="55"/>
      <c r="R538" s="14"/>
      <c r="S538" s="14"/>
    </row>
    <row r="539" spans="2:19" ht="12.95" hidden="1" customHeight="1" x14ac:dyDescent="0.25">
      <c r="B539" s="16">
        <v>42755</v>
      </c>
      <c r="C539" s="50" t="s">
        <v>523</v>
      </c>
      <c r="D539" s="34"/>
      <c r="E539" s="37">
        <v>4500000</v>
      </c>
      <c r="F539" s="37"/>
      <c r="G539" s="37">
        <f>+E539</f>
        <v>4500000</v>
      </c>
      <c r="H539" s="37"/>
      <c r="I539" s="37">
        <v>66195.039999999994</v>
      </c>
      <c r="J539" s="37">
        <v>43470</v>
      </c>
      <c r="K539" s="18">
        <f>+G539-I539-J539</f>
        <v>4390334.96</v>
      </c>
      <c r="L539" s="19">
        <f>+L538-G539</f>
        <v>1350000</v>
      </c>
      <c r="M539" s="20"/>
      <c r="N539" s="20"/>
      <c r="P539" s="55"/>
      <c r="Q539" s="55"/>
      <c r="R539" s="14"/>
      <c r="S539" s="14"/>
    </row>
    <row r="540" spans="2:19" ht="12.95" hidden="1" customHeight="1" x14ac:dyDescent="0.25">
      <c r="B540" s="16">
        <v>42755</v>
      </c>
      <c r="C540" s="50" t="s">
        <v>524</v>
      </c>
      <c r="D540" s="34"/>
      <c r="E540" s="37">
        <v>900000</v>
      </c>
      <c r="F540" s="37"/>
      <c r="G540" s="37">
        <f>+E540</f>
        <v>900000</v>
      </c>
      <c r="H540" s="37"/>
      <c r="I540" s="37">
        <v>128250</v>
      </c>
      <c r="J540" s="37">
        <v>8694</v>
      </c>
      <c r="K540" s="18">
        <f>+G540-I540-J540</f>
        <v>763056</v>
      </c>
      <c r="L540" s="19">
        <f>+L539-G540</f>
        <v>450000</v>
      </c>
      <c r="M540" s="20"/>
      <c r="N540" s="20"/>
      <c r="P540" s="55"/>
      <c r="Q540" s="55"/>
      <c r="R540" s="14"/>
      <c r="S540" s="14"/>
    </row>
    <row r="541" spans="2:19" ht="12.95" hidden="1" customHeight="1" x14ac:dyDescent="0.25">
      <c r="B541" s="16">
        <v>42755</v>
      </c>
      <c r="C541" s="50" t="s">
        <v>24</v>
      </c>
      <c r="D541" s="34"/>
      <c r="E541" s="37">
        <v>450000</v>
      </c>
      <c r="F541" s="37"/>
      <c r="G541" s="37">
        <f>+E541</f>
        <v>450000</v>
      </c>
      <c r="H541" s="37"/>
      <c r="I541" s="37"/>
      <c r="J541" s="37"/>
      <c r="K541" s="18">
        <f>+G541-I541-J541</f>
        <v>450000</v>
      </c>
      <c r="L541" s="19">
        <f>+L540-G541</f>
        <v>0</v>
      </c>
      <c r="M541" s="20"/>
      <c r="N541" s="20"/>
      <c r="P541" s="55"/>
      <c r="Q541" s="55"/>
      <c r="R541" s="14"/>
      <c r="S541" s="14"/>
    </row>
    <row r="542" spans="2:19" ht="12.95" hidden="1" customHeight="1" x14ac:dyDescent="0.25">
      <c r="B542" s="9" t="s">
        <v>525</v>
      </c>
      <c r="C542" s="10"/>
      <c r="D542" s="10">
        <v>250000000</v>
      </c>
      <c r="E542" s="11">
        <f>+D542</f>
        <v>250000000</v>
      </c>
      <c r="F542" s="273"/>
      <c r="G542" s="274"/>
      <c r="H542" s="274"/>
      <c r="I542" s="274"/>
      <c r="J542" s="274"/>
      <c r="K542" s="275"/>
      <c r="L542" s="11">
        <f>+D542</f>
        <v>250000000</v>
      </c>
      <c r="M542" s="12"/>
      <c r="N542" s="12"/>
      <c r="P542" s="55"/>
      <c r="Q542" s="55"/>
      <c r="R542" s="14"/>
      <c r="S542" s="14"/>
    </row>
    <row r="543" spans="2:19" ht="12.95" hidden="1" customHeight="1" x14ac:dyDescent="0.25">
      <c r="B543" s="16">
        <v>42718</v>
      </c>
      <c r="C543" s="50" t="s">
        <v>526</v>
      </c>
      <c r="D543" s="34"/>
      <c r="E543" s="79">
        <v>100000000</v>
      </c>
      <c r="F543" s="18"/>
      <c r="G543" s="37">
        <f>+E543</f>
        <v>100000000</v>
      </c>
      <c r="H543" s="37">
        <v>0</v>
      </c>
      <c r="I543" s="37">
        <v>0</v>
      </c>
      <c r="J543" s="37">
        <v>0</v>
      </c>
      <c r="K543" s="18">
        <f>+G543-H543-I543-J543</f>
        <v>100000000</v>
      </c>
      <c r="L543" s="19">
        <f>+L542-G543</f>
        <v>150000000</v>
      </c>
      <c r="M543" s="20"/>
      <c r="N543" s="20"/>
      <c r="P543" s="55"/>
      <c r="Q543" s="55"/>
      <c r="R543" s="14"/>
      <c r="S543" s="14"/>
    </row>
    <row r="544" spans="2:19" ht="12.95" hidden="1" customHeight="1" x14ac:dyDescent="0.25">
      <c r="B544" s="16">
        <v>42732</v>
      </c>
      <c r="C544" s="50" t="s">
        <v>527</v>
      </c>
      <c r="D544" s="34"/>
      <c r="E544" s="79">
        <v>75000000</v>
      </c>
      <c r="F544" s="18"/>
      <c r="G544" s="37">
        <f>+E544</f>
        <v>75000000</v>
      </c>
      <c r="H544" s="37">
        <v>0</v>
      </c>
      <c r="I544" s="37">
        <v>0</v>
      </c>
      <c r="J544" s="37">
        <v>0</v>
      </c>
      <c r="K544" s="18">
        <f>+G544-H544-I544-J544</f>
        <v>75000000</v>
      </c>
      <c r="L544" s="19">
        <f>+L543-G544</f>
        <v>75000000</v>
      </c>
      <c r="M544" s="20"/>
      <c r="N544" s="20"/>
      <c r="P544" s="55"/>
      <c r="Q544" s="55"/>
      <c r="R544" s="14"/>
      <c r="S544" s="14"/>
    </row>
    <row r="545" spans="2:19" ht="12.95" hidden="1" customHeight="1" x14ac:dyDescent="0.25">
      <c r="B545" s="16">
        <v>42741</v>
      </c>
      <c r="C545" s="50" t="s">
        <v>528</v>
      </c>
      <c r="D545" s="34"/>
      <c r="E545" s="79">
        <v>75000000</v>
      </c>
      <c r="F545" s="18"/>
      <c r="G545" s="37">
        <f>+E545</f>
        <v>75000000</v>
      </c>
      <c r="H545" s="37">
        <v>0</v>
      </c>
      <c r="I545" s="37">
        <v>0</v>
      </c>
      <c r="J545" s="37">
        <v>0</v>
      </c>
      <c r="K545" s="18">
        <f>+G545-H545-I545-J545</f>
        <v>75000000</v>
      </c>
      <c r="L545" s="19">
        <f>+L544-G545</f>
        <v>0</v>
      </c>
      <c r="M545" s="20"/>
      <c r="N545" s="20"/>
      <c r="P545" s="55"/>
      <c r="Q545" s="55"/>
      <c r="R545" s="14"/>
      <c r="S545" s="14"/>
    </row>
    <row r="546" spans="2:19" ht="12.95" hidden="1" customHeight="1" x14ac:dyDescent="0.25">
      <c r="B546" s="9" t="s">
        <v>529</v>
      </c>
      <c r="C546" s="10"/>
      <c r="D546" s="10">
        <f>1264000000+300000000</f>
        <v>1564000000</v>
      </c>
      <c r="E546" s="11">
        <f>+D546</f>
        <v>1564000000</v>
      </c>
      <c r="F546" s="272"/>
      <c r="G546" s="272"/>
      <c r="H546" s="272"/>
      <c r="I546" s="272"/>
      <c r="J546" s="272"/>
      <c r="K546" s="272"/>
      <c r="L546" s="11">
        <f>+D546</f>
        <v>1564000000</v>
      </c>
      <c r="M546" s="12"/>
      <c r="N546" s="12"/>
      <c r="P546" s="55"/>
      <c r="Q546" s="55"/>
      <c r="R546" s="14"/>
      <c r="S546" s="14"/>
    </row>
    <row r="547" spans="2:19" ht="12.95" hidden="1" customHeight="1" x14ac:dyDescent="0.25">
      <c r="B547" s="16">
        <v>42725</v>
      </c>
      <c r="C547" s="50" t="s">
        <v>530</v>
      </c>
      <c r="D547" s="34"/>
      <c r="E547" s="37">
        <v>200894080</v>
      </c>
      <c r="F547" s="37"/>
      <c r="G547" s="37">
        <f>+E547</f>
        <v>200894080</v>
      </c>
      <c r="H547" s="64">
        <v>4156429.2</v>
      </c>
      <c r="I547" s="64">
        <v>18509941.149999999</v>
      </c>
      <c r="J547" s="64">
        <v>1625509.38</v>
      </c>
      <c r="K547" s="18">
        <f>+G547-I547-J547</f>
        <v>180758629.47</v>
      </c>
      <c r="L547" s="19">
        <f t="shared" ref="L547:L553" si="86">+L546-G547</f>
        <v>1363105920</v>
      </c>
      <c r="M547" s="20"/>
      <c r="N547" s="20"/>
      <c r="P547" s="55"/>
      <c r="Q547" s="55"/>
      <c r="R547" s="14"/>
      <c r="S547" s="14"/>
    </row>
    <row r="548" spans="2:19" ht="12.95" hidden="1" customHeight="1" x14ac:dyDescent="0.25">
      <c r="B548" s="16">
        <v>42752</v>
      </c>
      <c r="C548" s="50" t="s">
        <v>531</v>
      </c>
      <c r="D548" s="34"/>
      <c r="E548" s="37">
        <v>769550000</v>
      </c>
      <c r="F548" s="37"/>
      <c r="G548" s="37">
        <f>+E548</f>
        <v>769550000</v>
      </c>
      <c r="H548" s="64">
        <v>15921724.199999999</v>
      </c>
      <c r="I548" s="64">
        <v>72434209.349999994</v>
      </c>
      <c r="J548" s="64">
        <v>6361040.5700000003</v>
      </c>
      <c r="K548" s="18">
        <f t="shared" ref="K548:K553" si="87">+G548-I548-J548-H548</f>
        <v>674833025.87999988</v>
      </c>
      <c r="L548" s="19">
        <f t="shared" si="86"/>
        <v>593555920</v>
      </c>
      <c r="M548" s="20"/>
      <c r="N548" s="20"/>
      <c r="P548" s="55"/>
      <c r="Q548" s="55"/>
      <c r="R548" s="14"/>
      <c r="S548" s="14"/>
    </row>
    <row r="549" spans="2:19" ht="12.95" hidden="1" customHeight="1" x14ac:dyDescent="0.25">
      <c r="B549" s="16">
        <v>42787</v>
      </c>
      <c r="C549" s="50" t="s">
        <v>532</v>
      </c>
      <c r="D549" s="34"/>
      <c r="E549" s="37">
        <v>0</v>
      </c>
      <c r="F549" s="37"/>
      <c r="G549" s="37">
        <v>0</v>
      </c>
      <c r="H549" s="64">
        <v>0</v>
      </c>
      <c r="I549" s="64">
        <v>0</v>
      </c>
      <c r="J549" s="37">
        <v>72434209.349999994</v>
      </c>
      <c r="K549" s="18">
        <f t="shared" si="87"/>
        <v>-72434209.349999994</v>
      </c>
      <c r="L549" s="19">
        <f t="shared" si="86"/>
        <v>593555920</v>
      </c>
      <c r="M549" s="20"/>
      <c r="N549" s="20"/>
      <c r="P549" s="55"/>
      <c r="Q549" s="55"/>
      <c r="R549" s="14"/>
      <c r="S549" s="14"/>
    </row>
    <row r="550" spans="2:19" ht="12.95" hidden="1" customHeight="1" x14ac:dyDescent="0.25">
      <c r="B550" s="16">
        <v>42761</v>
      </c>
      <c r="C550" s="50" t="s">
        <v>533</v>
      </c>
      <c r="D550" s="34"/>
      <c r="E550" s="37">
        <v>293531514</v>
      </c>
      <c r="F550" s="37"/>
      <c r="G550" s="37">
        <f>+E550</f>
        <v>293531514</v>
      </c>
      <c r="H550" s="64">
        <v>6073065.75</v>
      </c>
      <c r="I550" s="64">
        <v>0</v>
      </c>
      <c r="J550" s="64">
        <v>2444408.9900000002</v>
      </c>
      <c r="K550" s="18">
        <f t="shared" si="87"/>
        <v>285014039.25999999</v>
      </c>
      <c r="L550" s="19">
        <f t="shared" si="86"/>
        <v>300024406</v>
      </c>
      <c r="M550" s="20"/>
      <c r="N550" s="20"/>
      <c r="P550" s="55"/>
      <c r="Q550" s="55"/>
      <c r="R550" s="14"/>
      <c r="S550" s="14"/>
    </row>
    <row r="551" spans="2:19" ht="12.95" hidden="1" customHeight="1" x14ac:dyDescent="0.25">
      <c r="B551" s="16">
        <v>42859</v>
      </c>
      <c r="C551" s="50" t="s">
        <v>534</v>
      </c>
      <c r="D551" s="34"/>
      <c r="E551" s="37">
        <v>53528580</v>
      </c>
      <c r="F551" s="37"/>
      <c r="G551" s="37">
        <f>+E551</f>
        <v>53528580</v>
      </c>
      <c r="H551" s="64">
        <v>1281987</v>
      </c>
      <c r="I551" s="64"/>
      <c r="J551" s="64">
        <v>384990.14</v>
      </c>
      <c r="K551" s="18">
        <f t="shared" si="87"/>
        <v>51861602.859999999</v>
      </c>
      <c r="L551" s="19">
        <f t="shared" si="86"/>
        <v>246495826</v>
      </c>
      <c r="M551" s="20"/>
      <c r="N551" s="20"/>
      <c r="P551" s="55"/>
      <c r="Q551" s="55"/>
      <c r="R551" s="14"/>
      <c r="S551" s="14"/>
    </row>
    <row r="552" spans="2:19" ht="12.95" hidden="1" customHeight="1" x14ac:dyDescent="0.25">
      <c r="B552" s="16">
        <v>42916</v>
      </c>
      <c r="C552" s="50" t="s">
        <v>535</v>
      </c>
      <c r="D552" s="34"/>
      <c r="E552" s="37">
        <v>163276683</v>
      </c>
      <c r="F552" s="37"/>
      <c r="G552" s="37">
        <f>+E552</f>
        <v>163276683</v>
      </c>
      <c r="H552" s="64">
        <v>3910407.9</v>
      </c>
      <c r="I552" s="64"/>
      <c r="J552" s="64">
        <v>1274647.27</v>
      </c>
      <c r="K552" s="18">
        <f t="shared" si="87"/>
        <v>158091627.82999998</v>
      </c>
      <c r="L552" s="19">
        <f t="shared" si="86"/>
        <v>83219143</v>
      </c>
      <c r="M552" s="20"/>
      <c r="N552" s="20"/>
      <c r="P552" s="55"/>
      <c r="Q552" s="55"/>
      <c r="R552" s="14"/>
      <c r="S552" s="14"/>
    </row>
    <row r="553" spans="2:19" ht="12.95" hidden="1" customHeight="1" x14ac:dyDescent="0.25">
      <c r="B553" s="16">
        <v>42950</v>
      </c>
      <c r="C553" s="50" t="s">
        <v>536</v>
      </c>
      <c r="D553" s="34"/>
      <c r="E553" s="76">
        <v>83219143</v>
      </c>
      <c r="F553" s="37"/>
      <c r="G553" s="37">
        <f>+E553</f>
        <v>83219143</v>
      </c>
      <c r="H553" s="64">
        <v>1993063.5</v>
      </c>
      <c r="I553" s="64">
        <v>0</v>
      </c>
      <c r="J553" s="64">
        <v>624768.42000000004</v>
      </c>
      <c r="K553" s="18">
        <f t="shared" si="87"/>
        <v>80601311.079999998</v>
      </c>
      <c r="L553" s="19">
        <f t="shared" si="86"/>
        <v>0</v>
      </c>
      <c r="M553" s="20"/>
      <c r="N553" s="20"/>
      <c r="P553" s="55"/>
      <c r="Q553" s="55"/>
      <c r="R553" s="14"/>
      <c r="S553" s="14"/>
    </row>
    <row r="554" spans="2:19" ht="12.95" hidden="1" customHeight="1" x14ac:dyDescent="0.25">
      <c r="B554" s="9" t="s">
        <v>537</v>
      </c>
      <c r="C554" s="10"/>
      <c r="D554" s="10">
        <v>891327056</v>
      </c>
      <c r="E554" s="11">
        <f>+D554</f>
        <v>891327056</v>
      </c>
      <c r="F554" s="273"/>
      <c r="G554" s="274"/>
      <c r="H554" s="274"/>
      <c r="I554" s="274"/>
      <c r="J554" s="274"/>
      <c r="K554" s="275"/>
      <c r="L554" s="11">
        <f>+D554</f>
        <v>891327056</v>
      </c>
      <c r="M554" s="12"/>
      <c r="N554" s="12"/>
      <c r="P554" s="55"/>
      <c r="Q554" s="55"/>
      <c r="R554" s="14"/>
      <c r="S554" s="14"/>
    </row>
    <row r="555" spans="2:19" ht="12.95" hidden="1" customHeight="1" x14ac:dyDescent="0.25">
      <c r="B555" s="16">
        <v>42725</v>
      </c>
      <c r="C555" s="50" t="s">
        <v>538</v>
      </c>
      <c r="D555" s="34"/>
      <c r="E555" s="37">
        <v>222831764</v>
      </c>
      <c r="F555" s="37"/>
      <c r="G555" s="37">
        <f>+E555</f>
        <v>222831764</v>
      </c>
      <c r="H555" s="64">
        <v>0</v>
      </c>
      <c r="I555" s="64">
        <v>0</v>
      </c>
      <c r="J555" s="64">
        <v>0</v>
      </c>
      <c r="K555" s="18">
        <f>+G555-I555-J555</f>
        <v>222831764</v>
      </c>
      <c r="L555" s="19">
        <f>+L554-G555</f>
        <v>668495292</v>
      </c>
      <c r="M555" s="20"/>
      <c r="N555" s="20"/>
      <c r="P555" s="55"/>
      <c r="Q555" s="55"/>
      <c r="R555" s="14"/>
      <c r="S555" s="14"/>
    </row>
    <row r="556" spans="2:19" ht="12.95" hidden="1" customHeight="1" x14ac:dyDescent="0.25">
      <c r="B556" s="16">
        <v>42741</v>
      </c>
      <c r="C556" s="50" t="s">
        <v>539</v>
      </c>
      <c r="D556" s="34"/>
      <c r="E556" s="37">
        <v>445663528</v>
      </c>
      <c r="F556" s="37"/>
      <c r="G556" s="37">
        <f>+E556</f>
        <v>445663528</v>
      </c>
      <c r="H556" s="64">
        <v>0</v>
      </c>
      <c r="I556" s="64">
        <v>0</v>
      </c>
      <c r="J556" s="64">
        <v>0</v>
      </c>
      <c r="K556" s="18">
        <f>+G556-I556-J556</f>
        <v>445663528</v>
      </c>
      <c r="L556" s="19">
        <f>+L555-G556</f>
        <v>222831764</v>
      </c>
      <c r="M556" s="20"/>
      <c r="N556" s="20"/>
      <c r="P556" s="55"/>
      <c r="Q556" s="55"/>
      <c r="R556" s="14"/>
      <c r="S556" s="14"/>
    </row>
    <row r="557" spans="2:19" ht="12.95" hidden="1" customHeight="1" x14ac:dyDescent="0.25">
      <c r="B557" s="16">
        <v>42818</v>
      </c>
      <c r="C557" s="50" t="s">
        <v>540</v>
      </c>
      <c r="D557" s="34"/>
      <c r="E557" s="37">
        <v>222831764</v>
      </c>
      <c r="F557" s="37"/>
      <c r="G557" s="37">
        <f>+E557</f>
        <v>222831764</v>
      </c>
      <c r="H557" s="64">
        <v>0</v>
      </c>
      <c r="I557" s="64">
        <v>0</v>
      </c>
      <c r="J557" s="64">
        <v>0</v>
      </c>
      <c r="K557" s="18">
        <f>+G557-I557-J557</f>
        <v>222831764</v>
      </c>
      <c r="L557" s="19">
        <f>+L556-G557</f>
        <v>0</v>
      </c>
      <c r="M557" s="20"/>
      <c r="N557" s="20"/>
      <c r="P557" s="55"/>
      <c r="Q557" s="55"/>
      <c r="R557" s="14"/>
      <c r="S557" s="14"/>
    </row>
    <row r="558" spans="2:19" ht="12.95" hidden="1" customHeight="1" x14ac:dyDescent="0.25">
      <c r="B558" s="9" t="s">
        <v>541</v>
      </c>
      <c r="C558" s="10"/>
      <c r="D558" s="10">
        <v>1102827555</v>
      </c>
      <c r="E558" s="11">
        <f>+D558</f>
        <v>1102827555</v>
      </c>
      <c r="F558" s="273"/>
      <c r="G558" s="274"/>
      <c r="H558" s="274"/>
      <c r="I558" s="274"/>
      <c r="J558" s="274"/>
      <c r="K558" s="275"/>
      <c r="L558" s="11">
        <f>+D558</f>
        <v>1102827555</v>
      </c>
      <c r="M558" s="12"/>
      <c r="N558" s="12"/>
      <c r="P558" s="55"/>
      <c r="Q558" s="55"/>
      <c r="R558" s="14"/>
      <c r="S558" s="14"/>
    </row>
    <row r="559" spans="2:19" ht="12.95" hidden="1" customHeight="1" x14ac:dyDescent="0.25">
      <c r="B559" s="16">
        <v>42732</v>
      </c>
      <c r="C559" s="50" t="s">
        <v>542</v>
      </c>
      <c r="D559" s="34"/>
      <c r="E559" s="37">
        <v>441131022</v>
      </c>
      <c r="F559" s="37"/>
      <c r="G559" s="37">
        <f>+E559</f>
        <v>441131022</v>
      </c>
      <c r="H559" s="64">
        <v>0</v>
      </c>
      <c r="I559" s="64">
        <v>0</v>
      </c>
      <c r="J559" s="64">
        <v>0</v>
      </c>
      <c r="K559" s="18">
        <f>+G559-I559-J559</f>
        <v>441131022</v>
      </c>
      <c r="L559" s="19">
        <f>+L558-G559</f>
        <v>661696533</v>
      </c>
      <c r="M559" s="20"/>
      <c r="N559" s="20"/>
      <c r="P559" s="55"/>
      <c r="Q559" s="55"/>
      <c r="R559" s="14"/>
      <c r="S559" s="14"/>
    </row>
    <row r="560" spans="2:19" ht="12.95" hidden="1" customHeight="1" x14ac:dyDescent="0.25">
      <c r="B560" s="16">
        <v>42781</v>
      </c>
      <c r="C560" s="50" t="s">
        <v>543</v>
      </c>
      <c r="D560" s="34"/>
      <c r="E560" s="37">
        <v>661696533</v>
      </c>
      <c r="F560" s="37"/>
      <c r="G560" s="37">
        <f>+E560</f>
        <v>661696533</v>
      </c>
      <c r="H560" s="64">
        <v>0</v>
      </c>
      <c r="I560" s="64">
        <v>0</v>
      </c>
      <c r="J560" s="64">
        <v>0</v>
      </c>
      <c r="K560" s="18">
        <f>+G560-I560-J560</f>
        <v>661696533</v>
      </c>
      <c r="L560" s="19">
        <f>+L559-G560</f>
        <v>0</v>
      </c>
      <c r="M560" s="20"/>
      <c r="N560" s="20"/>
      <c r="P560" s="55"/>
      <c r="Q560" s="55"/>
      <c r="R560" s="14"/>
      <c r="S560" s="14"/>
    </row>
    <row r="561" spans="2:19" ht="12.95" hidden="1" customHeight="1" x14ac:dyDescent="0.25">
      <c r="B561" s="9" t="s">
        <v>544</v>
      </c>
      <c r="C561" s="10"/>
      <c r="D561" s="10">
        <v>8583333</v>
      </c>
      <c r="E561" s="11">
        <f>+D561</f>
        <v>8583333</v>
      </c>
      <c r="F561" s="272"/>
      <c r="G561" s="272"/>
      <c r="H561" s="272"/>
      <c r="I561" s="272"/>
      <c r="J561" s="272"/>
      <c r="K561" s="272"/>
      <c r="L561" s="11">
        <f>+D561</f>
        <v>8583333</v>
      </c>
      <c r="M561" s="12"/>
      <c r="N561" s="12"/>
      <c r="P561" s="55"/>
      <c r="Q561" s="55"/>
      <c r="R561" s="14"/>
      <c r="S561" s="14"/>
    </row>
    <row r="562" spans="2:19" ht="12.95" hidden="1" customHeight="1" x14ac:dyDescent="0.25">
      <c r="B562" s="16">
        <v>42725</v>
      </c>
      <c r="C562" s="50" t="s">
        <v>545</v>
      </c>
      <c r="D562" s="34"/>
      <c r="E562" s="37">
        <v>5150000</v>
      </c>
      <c r="F562" s="37"/>
      <c r="G562" s="37">
        <f>+E562</f>
        <v>5150000</v>
      </c>
      <c r="H562" s="64">
        <v>0</v>
      </c>
      <c r="I562" s="64">
        <v>196833.35</v>
      </c>
      <c r="J562" s="64">
        <v>49749</v>
      </c>
      <c r="K562" s="18">
        <f>+G562-I562-J562</f>
        <v>4903417.6500000004</v>
      </c>
      <c r="L562" s="19">
        <f>+L561-G562</f>
        <v>3433333</v>
      </c>
      <c r="M562" s="20"/>
      <c r="N562" s="20"/>
      <c r="P562" s="55"/>
      <c r="Q562" s="55"/>
      <c r="R562" s="14"/>
      <c r="S562" s="14"/>
    </row>
    <row r="563" spans="2:19" ht="12.95" hidden="1" customHeight="1" x14ac:dyDescent="0.25">
      <c r="B563" s="16">
        <v>42765</v>
      </c>
      <c r="C563" s="50" t="s">
        <v>546</v>
      </c>
      <c r="D563" s="34"/>
      <c r="E563" s="37">
        <v>2918333</v>
      </c>
      <c r="F563" s="37"/>
      <c r="G563" s="37">
        <f>+E563</f>
        <v>2918333</v>
      </c>
      <c r="H563" s="64">
        <v>0</v>
      </c>
      <c r="I563" s="64">
        <v>0</v>
      </c>
      <c r="J563" s="64">
        <v>28191.1</v>
      </c>
      <c r="K563" s="18">
        <f>+G563-I563-J563</f>
        <v>2890141.9</v>
      </c>
      <c r="L563" s="19">
        <f>+L562-G563</f>
        <v>515000</v>
      </c>
      <c r="M563" s="20"/>
      <c r="N563" s="20"/>
      <c r="P563" s="55"/>
      <c r="Q563" s="55"/>
      <c r="R563" s="14"/>
      <c r="S563" s="14"/>
    </row>
    <row r="564" spans="2:19" ht="12.95" hidden="1" customHeight="1" x14ac:dyDescent="0.25">
      <c r="B564" s="16">
        <v>42765</v>
      </c>
      <c r="C564" s="55" t="s">
        <v>547</v>
      </c>
      <c r="D564" s="55"/>
      <c r="E564" s="37">
        <v>515000</v>
      </c>
      <c r="F564" s="55"/>
      <c r="G564" s="37">
        <f>+E564</f>
        <v>515000</v>
      </c>
      <c r="H564" s="64">
        <v>0</v>
      </c>
      <c r="I564" s="64">
        <v>0</v>
      </c>
      <c r="J564" s="64">
        <v>0</v>
      </c>
      <c r="K564" s="18">
        <f>+G564-I564-J564</f>
        <v>515000</v>
      </c>
      <c r="L564" s="19">
        <f>+L563-G564</f>
        <v>0</v>
      </c>
      <c r="M564" s="20"/>
      <c r="N564" s="20"/>
      <c r="P564" s="55"/>
      <c r="Q564" s="55"/>
      <c r="R564" s="14"/>
      <c r="S564" s="14"/>
    </row>
    <row r="565" spans="2:19" ht="12.95" hidden="1" customHeight="1" x14ac:dyDescent="0.25">
      <c r="B565" s="9" t="s">
        <v>548</v>
      </c>
      <c r="C565" s="10"/>
      <c r="D565" s="10">
        <v>75985000</v>
      </c>
      <c r="E565" s="11">
        <f>+D565</f>
        <v>75985000</v>
      </c>
      <c r="F565" s="272"/>
      <c r="G565" s="272"/>
      <c r="H565" s="272"/>
      <c r="I565" s="272"/>
      <c r="J565" s="272"/>
      <c r="K565" s="272"/>
      <c r="L565" s="11">
        <f>+D565</f>
        <v>75985000</v>
      </c>
      <c r="M565" s="12"/>
      <c r="N565" s="12"/>
      <c r="P565" s="55"/>
      <c r="Q565" s="55"/>
      <c r="R565" s="14"/>
      <c r="S565" s="14"/>
    </row>
    <row r="566" spans="2:19" ht="12.95" hidden="1" customHeight="1" x14ac:dyDescent="0.25">
      <c r="B566" s="16">
        <v>42800</v>
      </c>
      <c r="C566" s="50" t="s">
        <v>549</v>
      </c>
      <c r="D566" s="34"/>
      <c r="E566" s="37">
        <v>4500000</v>
      </c>
      <c r="F566" s="37"/>
      <c r="G566" s="37">
        <f t="shared" ref="G566:G579" si="88">+E566</f>
        <v>4500000</v>
      </c>
      <c r="H566" s="64">
        <v>0</v>
      </c>
      <c r="I566" s="64">
        <v>0</v>
      </c>
      <c r="J566" s="64">
        <v>38514.42</v>
      </c>
      <c r="K566" s="18">
        <f t="shared" ref="K566:K579" si="89">+G566-I566-J566</f>
        <v>4461485.58</v>
      </c>
      <c r="L566" s="19">
        <f t="shared" ref="L566:L579" si="90">+L565-G566</f>
        <v>71485000</v>
      </c>
      <c r="M566" s="20"/>
      <c r="N566" s="20"/>
      <c r="P566" s="55"/>
      <c r="Q566" s="55"/>
      <c r="R566" s="14"/>
      <c r="S566" s="14"/>
    </row>
    <row r="567" spans="2:19" ht="12.95" hidden="1" customHeight="1" x14ac:dyDescent="0.25">
      <c r="B567" s="16">
        <v>42832</v>
      </c>
      <c r="C567" s="50" t="s">
        <v>550</v>
      </c>
      <c r="D567" s="34"/>
      <c r="E567" s="37">
        <v>4500000</v>
      </c>
      <c r="F567" s="37"/>
      <c r="G567" s="37">
        <f t="shared" si="88"/>
        <v>4500000</v>
      </c>
      <c r="H567" s="64"/>
      <c r="I567" s="64"/>
      <c r="J567" s="64">
        <v>38514.42</v>
      </c>
      <c r="K567" s="18">
        <f t="shared" si="89"/>
        <v>4461485.58</v>
      </c>
      <c r="L567" s="19">
        <f t="shared" si="90"/>
        <v>66985000</v>
      </c>
      <c r="M567" s="20"/>
      <c r="N567" s="20"/>
      <c r="P567" s="55"/>
      <c r="Q567" s="55"/>
      <c r="R567" s="14"/>
      <c r="S567" s="14"/>
    </row>
    <row r="568" spans="2:19" ht="12.95" hidden="1" customHeight="1" x14ac:dyDescent="0.25">
      <c r="B568" s="16">
        <v>42871</v>
      </c>
      <c r="C568" s="50" t="s">
        <v>551</v>
      </c>
      <c r="D568" s="34"/>
      <c r="E568" s="37">
        <v>4500000</v>
      </c>
      <c r="F568" s="37"/>
      <c r="G568" s="37">
        <f t="shared" si="88"/>
        <v>4500000</v>
      </c>
      <c r="H568" s="64"/>
      <c r="I568" s="64"/>
      <c r="J568" s="64">
        <v>38514.42</v>
      </c>
      <c r="K568" s="18">
        <f t="shared" si="89"/>
        <v>4461485.58</v>
      </c>
      <c r="L568" s="19">
        <f t="shared" si="90"/>
        <v>62485000</v>
      </c>
      <c r="M568" s="20"/>
      <c r="N568" s="20"/>
      <c r="P568" s="55"/>
      <c r="Q568" s="55"/>
      <c r="R568" s="14"/>
      <c r="S568" s="14"/>
    </row>
    <row r="569" spans="2:19" ht="12.95" hidden="1" customHeight="1" x14ac:dyDescent="0.25">
      <c r="B569" s="16">
        <v>42909</v>
      </c>
      <c r="C569" s="50" t="s">
        <v>552</v>
      </c>
      <c r="D569" s="34"/>
      <c r="E569" s="37">
        <v>4500000</v>
      </c>
      <c r="F569" s="37"/>
      <c r="G569" s="37">
        <f t="shared" si="88"/>
        <v>4500000</v>
      </c>
      <c r="H569" s="64"/>
      <c r="I569" s="64"/>
      <c r="J569" s="64">
        <v>38514.42</v>
      </c>
      <c r="K569" s="18">
        <f t="shared" si="89"/>
        <v>4461485.58</v>
      </c>
      <c r="L569" s="19">
        <f t="shared" si="90"/>
        <v>57985000</v>
      </c>
      <c r="M569" s="20"/>
      <c r="N569" s="20"/>
      <c r="P569" s="55"/>
      <c r="Q569" s="55"/>
      <c r="R569" s="14"/>
      <c r="S569" s="14"/>
    </row>
    <row r="570" spans="2:19" ht="12.95" hidden="1" customHeight="1" x14ac:dyDescent="0.25">
      <c r="B570" s="16">
        <v>42944</v>
      </c>
      <c r="C570" s="50" t="s">
        <v>553</v>
      </c>
      <c r="D570" s="34"/>
      <c r="E570" s="37">
        <v>4500000</v>
      </c>
      <c r="F570" s="37"/>
      <c r="G570" s="37">
        <f t="shared" si="88"/>
        <v>4500000</v>
      </c>
      <c r="H570" s="64"/>
      <c r="I570" s="64"/>
      <c r="J570" s="64">
        <v>38514.42</v>
      </c>
      <c r="K570" s="18">
        <f t="shared" si="89"/>
        <v>4461485.58</v>
      </c>
      <c r="L570" s="19">
        <f t="shared" si="90"/>
        <v>53485000</v>
      </c>
      <c r="M570" s="20"/>
      <c r="N570" s="20"/>
      <c r="P570" s="55"/>
      <c r="Q570" s="55"/>
      <c r="R570" s="14"/>
      <c r="S570" s="14"/>
    </row>
    <row r="571" spans="2:19" ht="12.95" hidden="1" customHeight="1" x14ac:dyDescent="0.25">
      <c r="B571" s="16">
        <v>42961</v>
      </c>
      <c r="C571" s="50" t="s">
        <v>554</v>
      </c>
      <c r="D571" s="34"/>
      <c r="E571" s="37">
        <v>4500000</v>
      </c>
      <c r="F571" s="37"/>
      <c r="G571" s="37">
        <f t="shared" si="88"/>
        <v>4500000</v>
      </c>
      <c r="H571" s="64"/>
      <c r="I571" s="64"/>
      <c r="J571" s="64">
        <v>38514.42</v>
      </c>
      <c r="K571" s="18">
        <f t="shared" si="89"/>
        <v>4461485.58</v>
      </c>
      <c r="L571" s="19">
        <f t="shared" si="90"/>
        <v>48985000</v>
      </c>
      <c r="M571" s="20"/>
      <c r="N571" s="20"/>
      <c r="P571" s="55"/>
      <c r="Q571" s="55"/>
      <c r="R571" s="14"/>
      <c r="S571" s="14"/>
    </row>
    <row r="572" spans="2:19" ht="12.95" hidden="1" customHeight="1" x14ac:dyDescent="0.25">
      <c r="B572" s="16">
        <v>42993</v>
      </c>
      <c r="C572" s="50" t="s">
        <v>555</v>
      </c>
      <c r="D572" s="34"/>
      <c r="E572" s="37">
        <v>4500000</v>
      </c>
      <c r="F572" s="37"/>
      <c r="G572" s="37">
        <f t="shared" si="88"/>
        <v>4500000</v>
      </c>
      <c r="H572" s="64"/>
      <c r="I572" s="64"/>
      <c r="J572" s="64">
        <v>38514.42</v>
      </c>
      <c r="K572" s="18">
        <f t="shared" si="89"/>
        <v>4461485.58</v>
      </c>
      <c r="L572" s="19">
        <f t="shared" si="90"/>
        <v>44485000</v>
      </c>
      <c r="M572" s="20"/>
      <c r="N572" s="20"/>
      <c r="P572" s="55"/>
      <c r="Q572" s="55"/>
      <c r="R572" s="14"/>
      <c r="S572" s="14"/>
    </row>
    <row r="573" spans="2:19" ht="12.95" hidden="1" customHeight="1" x14ac:dyDescent="0.25">
      <c r="B573" s="16">
        <v>43012</v>
      </c>
      <c r="C573" s="50" t="s">
        <v>556</v>
      </c>
      <c r="D573" s="34"/>
      <c r="E573" s="37">
        <v>4500000</v>
      </c>
      <c r="F573" s="37"/>
      <c r="G573" s="37">
        <f t="shared" si="88"/>
        <v>4500000</v>
      </c>
      <c r="H573" s="64"/>
      <c r="I573" s="64"/>
      <c r="J573" s="64">
        <v>38514.42</v>
      </c>
      <c r="K573" s="18">
        <f t="shared" si="89"/>
        <v>4461485.58</v>
      </c>
      <c r="L573" s="19">
        <f t="shared" si="90"/>
        <v>39985000</v>
      </c>
      <c r="M573" s="20"/>
      <c r="N573" s="20"/>
      <c r="P573" s="55"/>
      <c r="Q573" s="55"/>
      <c r="R573" s="14"/>
      <c r="S573" s="14"/>
    </row>
    <row r="574" spans="2:19" ht="12.95" hidden="1" customHeight="1" x14ac:dyDescent="0.25">
      <c r="B574" s="16">
        <v>43054</v>
      </c>
      <c r="C574" s="50" t="s">
        <v>557</v>
      </c>
      <c r="D574" s="34"/>
      <c r="E574" s="37">
        <v>4500000</v>
      </c>
      <c r="F574" s="37"/>
      <c r="G574" s="37">
        <f t="shared" si="88"/>
        <v>4500000</v>
      </c>
      <c r="H574" s="64">
        <v>0</v>
      </c>
      <c r="I574" s="64">
        <v>0</v>
      </c>
      <c r="J574" s="64">
        <v>38514.42</v>
      </c>
      <c r="K574" s="18">
        <f t="shared" si="89"/>
        <v>4461485.58</v>
      </c>
      <c r="L574" s="19">
        <f t="shared" si="90"/>
        <v>35485000</v>
      </c>
      <c r="M574" s="20"/>
      <c r="N574" s="20"/>
      <c r="P574" s="55"/>
      <c r="Q574" s="55"/>
      <c r="R574" s="14"/>
      <c r="S574" s="14"/>
    </row>
    <row r="575" spans="2:19" ht="12.95" hidden="1" customHeight="1" x14ac:dyDescent="0.25">
      <c r="B575" s="16">
        <v>43075.125</v>
      </c>
      <c r="C575" s="50" t="s">
        <v>558</v>
      </c>
      <c r="D575" s="34"/>
      <c r="E575" s="37">
        <v>4500000</v>
      </c>
      <c r="F575" s="37"/>
      <c r="G575" s="37">
        <f t="shared" si="88"/>
        <v>4500000</v>
      </c>
      <c r="H575" s="64"/>
      <c r="I575" s="64"/>
      <c r="J575" s="64">
        <v>38514.42</v>
      </c>
      <c r="K575" s="18">
        <f t="shared" si="89"/>
        <v>4461485.58</v>
      </c>
      <c r="L575" s="19">
        <f t="shared" si="90"/>
        <v>30985000</v>
      </c>
      <c r="M575" s="20"/>
      <c r="N575" s="20"/>
      <c r="P575" s="55"/>
      <c r="Q575" s="55"/>
      <c r="R575" s="14"/>
      <c r="S575" s="14"/>
    </row>
    <row r="576" spans="2:19" ht="12.95" hidden="1" customHeight="1" x14ac:dyDescent="0.25">
      <c r="B576" s="16">
        <v>43097.125</v>
      </c>
      <c r="C576" s="50" t="s">
        <v>559</v>
      </c>
      <c r="D576" s="34"/>
      <c r="E576" s="37">
        <v>4500000</v>
      </c>
      <c r="F576" s="37"/>
      <c r="G576" s="37">
        <f t="shared" si="88"/>
        <v>4500000</v>
      </c>
      <c r="H576" s="64"/>
      <c r="I576" s="64">
        <v>0</v>
      </c>
      <c r="J576" s="64">
        <v>38514.42</v>
      </c>
      <c r="K576" s="18">
        <f t="shared" si="89"/>
        <v>4461485.58</v>
      </c>
      <c r="L576" s="19">
        <f t="shared" si="90"/>
        <v>26485000</v>
      </c>
      <c r="M576" s="20"/>
      <c r="N576" s="20"/>
      <c r="P576" s="55"/>
      <c r="Q576" s="55"/>
      <c r="R576" s="14"/>
      <c r="S576" s="14"/>
    </row>
    <row r="577" spans="2:19" ht="12.95" hidden="1" customHeight="1" x14ac:dyDescent="0.25">
      <c r="B577" s="16">
        <v>43117.125</v>
      </c>
      <c r="C577" s="50" t="s">
        <v>560</v>
      </c>
      <c r="D577" s="34"/>
      <c r="E577" s="37">
        <v>1200000</v>
      </c>
      <c r="F577" s="37"/>
      <c r="G577" s="37">
        <f t="shared" si="88"/>
        <v>1200000</v>
      </c>
      <c r="H577" s="64">
        <v>0</v>
      </c>
      <c r="I577" s="64">
        <v>0</v>
      </c>
      <c r="J577" s="64">
        <v>10270.51</v>
      </c>
      <c r="K577" s="18">
        <f t="shared" si="89"/>
        <v>1189729.49</v>
      </c>
      <c r="L577" s="19">
        <f t="shared" si="90"/>
        <v>25285000</v>
      </c>
      <c r="M577" s="20"/>
      <c r="N577" s="20"/>
      <c r="P577" s="55"/>
      <c r="Q577" s="55"/>
      <c r="R577" s="14"/>
      <c r="S577" s="14"/>
    </row>
    <row r="578" spans="2:19" ht="12.95" hidden="1" customHeight="1" x14ac:dyDescent="0.25">
      <c r="B578" s="16">
        <v>43117.125</v>
      </c>
      <c r="C578" s="50" t="s">
        <v>24</v>
      </c>
      <c r="D578" s="34"/>
      <c r="E578" s="37">
        <v>300000</v>
      </c>
      <c r="F578" s="37"/>
      <c r="G578" s="37">
        <f t="shared" si="88"/>
        <v>300000</v>
      </c>
      <c r="H578" s="64">
        <v>0</v>
      </c>
      <c r="I578" s="64">
        <v>0</v>
      </c>
      <c r="J578" s="64">
        <v>0</v>
      </c>
      <c r="K578" s="18">
        <f t="shared" si="89"/>
        <v>300000</v>
      </c>
      <c r="L578" s="19">
        <f t="shared" si="90"/>
        <v>24985000</v>
      </c>
      <c r="M578" s="20"/>
      <c r="N578" s="20"/>
      <c r="P578" s="55"/>
      <c r="Q578" s="55"/>
      <c r="R578" s="14"/>
      <c r="S578" s="14"/>
    </row>
    <row r="579" spans="2:19" ht="12.95" hidden="1" customHeight="1" x14ac:dyDescent="0.25">
      <c r="B579" s="16">
        <v>43117.125</v>
      </c>
      <c r="C579" s="50" t="s">
        <v>24</v>
      </c>
      <c r="D579" s="34"/>
      <c r="E579" s="37">
        <v>24985000</v>
      </c>
      <c r="F579" s="37"/>
      <c r="G579" s="37">
        <f t="shared" si="88"/>
        <v>24985000</v>
      </c>
      <c r="H579" s="64">
        <v>0</v>
      </c>
      <c r="I579" s="64">
        <v>0</v>
      </c>
      <c r="J579" s="64">
        <v>0</v>
      </c>
      <c r="K579" s="18">
        <f t="shared" si="89"/>
        <v>24985000</v>
      </c>
      <c r="L579" s="19">
        <f t="shared" si="90"/>
        <v>0</v>
      </c>
      <c r="M579" s="20"/>
      <c r="N579" s="20"/>
      <c r="P579" s="55"/>
      <c r="Q579" s="55"/>
      <c r="R579" s="14"/>
      <c r="S579" s="14"/>
    </row>
    <row r="580" spans="2:19" ht="12.95" hidden="1" customHeight="1" x14ac:dyDescent="0.25">
      <c r="B580" s="9" t="s">
        <v>561</v>
      </c>
      <c r="C580" s="10"/>
      <c r="D580" s="10">
        <v>64666667</v>
      </c>
      <c r="E580" s="11">
        <f>+D580</f>
        <v>64666667</v>
      </c>
      <c r="F580" s="273"/>
      <c r="G580" s="274"/>
      <c r="H580" s="274"/>
      <c r="I580" s="274"/>
      <c r="J580" s="274"/>
      <c r="K580" s="275"/>
      <c r="L580" s="10">
        <f>+D580</f>
        <v>64666667</v>
      </c>
      <c r="M580" s="80"/>
      <c r="N580" s="80"/>
      <c r="P580" s="55"/>
      <c r="Q580" s="55"/>
      <c r="R580" s="14"/>
      <c r="S580" s="14"/>
    </row>
    <row r="581" spans="2:19" ht="12.95" hidden="1" customHeight="1" x14ac:dyDescent="0.25">
      <c r="B581" s="16">
        <v>42815</v>
      </c>
      <c r="C581" s="50" t="s">
        <v>562</v>
      </c>
      <c r="D581" s="34"/>
      <c r="E581" s="37">
        <v>3500000</v>
      </c>
      <c r="F581" s="37"/>
      <c r="G581" s="37">
        <f t="shared" ref="G581:G596" si="91">+E581</f>
        <v>3500000</v>
      </c>
      <c r="H581" s="64">
        <v>0</v>
      </c>
      <c r="I581" s="64">
        <v>72180.100000000006</v>
      </c>
      <c r="J581" s="64">
        <v>33810</v>
      </c>
      <c r="K581" s="18">
        <f t="shared" ref="K581:K595" si="92">+G581-I581-J581</f>
        <v>3394009.9</v>
      </c>
      <c r="L581" s="19">
        <f t="shared" ref="L581:L594" si="93">+L580-G581</f>
        <v>61166667</v>
      </c>
      <c r="M581" s="20"/>
      <c r="N581" s="20"/>
      <c r="P581" s="55"/>
      <c r="Q581" s="55"/>
      <c r="R581" s="14"/>
      <c r="S581" s="14"/>
    </row>
    <row r="582" spans="2:19" ht="12.95" hidden="1" customHeight="1" x14ac:dyDescent="0.25">
      <c r="B582" s="16">
        <v>42860</v>
      </c>
      <c r="C582" s="50" t="s">
        <v>563</v>
      </c>
      <c r="D582" s="34"/>
      <c r="E582" s="37">
        <v>3500000</v>
      </c>
      <c r="F582" s="37"/>
      <c r="G582" s="37">
        <f t="shared" si="91"/>
        <v>3500000</v>
      </c>
      <c r="H582" s="64">
        <v>0</v>
      </c>
      <c r="I582" s="64">
        <v>0</v>
      </c>
      <c r="J582" s="64">
        <v>33810</v>
      </c>
      <c r="K582" s="18">
        <f t="shared" si="92"/>
        <v>3466190</v>
      </c>
      <c r="L582" s="19">
        <f t="shared" si="93"/>
        <v>57666667</v>
      </c>
      <c r="M582" s="20"/>
      <c r="N582" s="20"/>
      <c r="P582" s="55"/>
      <c r="Q582" s="55"/>
      <c r="R582" s="14"/>
      <c r="S582" s="14"/>
    </row>
    <row r="583" spans="2:19" ht="12.95" hidden="1" customHeight="1" x14ac:dyDescent="0.25">
      <c r="B583" s="16">
        <v>42916</v>
      </c>
      <c r="C583" s="50" t="s">
        <v>564</v>
      </c>
      <c r="D583" s="34"/>
      <c r="E583" s="37">
        <v>3500000</v>
      </c>
      <c r="F583" s="37"/>
      <c r="G583" s="37">
        <f t="shared" si="91"/>
        <v>3500000</v>
      </c>
      <c r="H583" s="64">
        <v>0</v>
      </c>
      <c r="I583" s="64">
        <v>0</v>
      </c>
      <c r="J583" s="64">
        <v>33810</v>
      </c>
      <c r="K583" s="18">
        <f t="shared" si="92"/>
        <v>3466190</v>
      </c>
      <c r="L583" s="19">
        <f t="shared" si="93"/>
        <v>54166667</v>
      </c>
      <c r="M583" s="20"/>
      <c r="N583" s="20"/>
      <c r="P583" s="55"/>
      <c r="Q583" s="55"/>
      <c r="R583" s="14"/>
      <c r="S583" s="14"/>
    </row>
    <row r="584" spans="2:19" ht="12.95" hidden="1" customHeight="1" x14ac:dyDescent="0.25">
      <c r="B584" s="16">
        <v>42916</v>
      </c>
      <c r="C584" s="50" t="s">
        <v>565</v>
      </c>
      <c r="D584" s="34"/>
      <c r="E584" s="76">
        <v>165004</v>
      </c>
      <c r="F584" s="37"/>
      <c r="G584" s="37">
        <f t="shared" si="91"/>
        <v>165004</v>
      </c>
      <c r="H584" s="64">
        <v>0</v>
      </c>
      <c r="I584" s="64">
        <v>0</v>
      </c>
      <c r="J584" s="64"/>
      <c r="K584" s="18">
        <f t="shared" si="92"/>
        <v>165004</v>
      </c>
      <c r="L584" s="19">
        <f t="shared" si="93"/>
        <v>54001663</v>
      </c>
      <c r="M584" s="20"/>
      <c r="N584" s="20"/>
      <c r="P584" s="55"/>
      <c r="Q584" s="55"/>
      <c r="R584" s="14"/>
      <c r="S584" s="14"/>
    </row>
    <row r="585" spans="2:19" ht="12.95" hidden="1" customHeight="1" x14ac:dyDescent="0.25">
      <c r="B585" s="16">
        <v>42916</v>
      </c>
      <c r="C585" s="50" t="s">
        <v>566</v>
      </c>
      <c r="D585" s="34"/>
      <c r="E585" s="76">
        <v>990213</v>
      </c>
      <c r="F585" s="37"/>
      <c r="G585" s="37">
        <f t="shared" si="91"/>
        <v>990213</v>
      </c>
      <c r="H585" s="64">
        <v>0</v>
      </c>
      <c r="I585" s="64">
        <v>0</v>
      </c>
      <c r="J585" s="64"/>
      <c r="K585" s="18">
        <f t="shared" si="92"/>
        <v>990213</v>
      </c>
      <c r="L585" s="19">
        <f t="shared" si="93"/>
        <v>53011450</v>
      </c>
      <c r="M585" s="20"/>
      <c r="N585" s="20"/>
      <c r="P585" s="55"/>
      <c r="Q585" s="55"/>
      <c r="R585" s="14"/>
      <c r="S585" s="14"/>
    </row>
    <row r="586" spans="2:19" ht="12.95" hidden="1" customHeight="1" x14ac:dyDescent="0.25">
      <c r="B586" s="16">
        <v>42944</v>
      </c>
      <c r="C586" s="50" t="s">
        <v>567</v>
      </c>
      <c r="D586" s="34"/>
      <c r="E586" s="37">
        <v>3500000</v>
      </c>
      <c r="F586" s="37"/>
      <c r="G586" s="37">
        <f t="shared" si="91"/>
        <v>3500000</v>
      </c>
      <c r="H586" s="64"/>
      <c r="I586" s="64"/>
      <c r="J586" s="64">
        <v>33810</v>
      </c>
      <c r="K586" s="18">
        <f t="shared" si="92"/>
        <v>3466190</v>
      </c>
      <c r="L586" s="19">
        <f t="shared" si="93"/>
        <v>49511450</v>
      </c>
      <c r="M586" s="20"/>
      <c r="N586" s="20"/>
      <c r="P586" s="55"/>
      <c r="Q586" s="55"/>
      <c r="R586" s="14"/>
      <c r="S586" s="14"/>
    </row>
    <row r="587" spans="2:19" ht="12.95" hidden="1" customHeight="1" x14ac:dyDescent="0.25">
      <c r="B587" s="16">
        <v>42972</v>
      </c>
      <c r="C587" s="50" t="s">
        <v>568</v>
      </c>
      <c r="D587" s="34"/>
      <c r="E587" s="37">
        <v>3500000</v>
      </c>
      <c r="F587" s="37"/>
      <c r="G587" s="37">
        <f t="shared" si="91"/>
        <v>3500000</v>
      </c>
      <c r="H587" s="64"/>
      <c r="I587" s="64">
        <v>0</v>
      </c>
      <c r="J587" s="64">
        <v>33810</v>
      </c>
      <c r="K587" s="18">
        <f t="shared" si="92"/>
        <v>3466190</v>
      </c>
      <c r="L587" s="19">
        <f t="shared" si="93"/>
        <v>46011450</v>
      </c>
      <c r="M587" s="20"/>
      <c r="N587" s="20"/>
      <c r="P587" s="55"/>
      <c r="Q587" s="55"/>
      <c r="R587" s="14"/>
      <c r="S587" s="14"/>
    </row>
    <row r="588" spans="2:19" ht="12.95" hidden="1" customHeight="1" x14ac:dyDescent="0.25">
      <c r="B588" s="16">
        <v>42972</v>
      </c>
      <c r="C588" s="50" t="s">
        <v>569</v>
      </c>
      <c r="D588" s="34"/>
      <c r="E588" s="37">
        <v>3500000</v>
      </c>
      <c r="F588" s="37"/>
      <c r="G588" s="37">
        <f t="shared" si="91"/>
        <v>3500000</v>
      </c>
      <c r="H588" s="64"/>
      <c r="I588" s="64">
        <v>0</v>
      </c>
      <c r="J588" s="64">
        <v>33810</v>
      </c>
      <c r="K588" s="18">
        <f t="shared" si="92"/>
        <v>3466190</v>
      </c>
      <c r="L588" s="19">
        <f t="shared" si="93"/>
        <v>42511450</v>
      </c>
      <c r="M588" s="20"/>
      <c r="N588" s="20"/>
      <c r="P588" s="55"/>
      <c r="Q588" s="55"/>
      <c r="R588" s="14"/>
      <c r="S588" s="14"/>
    </row>
    <row r="589" spans="2:19" ht="12.95" hidden="1" customHeight="1" x14ac:dyDescent="0.25">
      <c r="B589" s="16">
        <v>43012</v>
      </c>
      <c r="C589" s="50" t="s">
        <v>570</v>
      </c>
      <c r="D589" s="34"/>
      <c r="E589" s="37">
        <v>3500000</v>
      </c>
      <c r="F589" s="37"/>
      <c r="G589" s="37">
        <f t="shared" si="91"/>
        <v>3500000</v>
      </c>
      <c r="H589" s="64">
        <v>0</v>
      </c>
      <c r="I589" s="64">
        <v>0</v>
      </c>
      <c r="J589" s="64">
        <v>33810</v>
      </c>
      <c r="K589" s="18">
        <f t="shared" si="92"/>
        <v>3466190</v>
      </c>
      <c r="L589" s="19">
        <f t="shared" si="93"/>
        <v>39011450</v>
      </c>
      <c r="M589" s="20"/>
      <c r="N589" s="20"/>
      <c r="P589" s="55"/>
      <c r="Q589" s="55"/>
      <c r="R589" s="14"/>
      <c r="S589" s="14"/>
    </row>
    <row r="590" spans="2:19" ht="12.95" hidden="1" customHeight="1" x14ac:dyDescent="0.25">
      <c r="B590" s="16">
        <v>43035</v>
      </c>
      <c r="C590" s="50" t="s">
        <v>571</v>
      </c>
      <c r="D590" s="34"/>
      <c r="E590" s="37">
        <v>3500000</v>
      </c>
      <c r="F590" s="37"/>
      <c r="G590" s="37">
        <f t="shared" si="91"/>
        <v>3500000</v>
      </c>
      <c r="H590" s="64">
        <v>0</v>
      </c>
      <c r="I590" s="64">
        <v>0</v>
      </c>
      <c r="J590" s="64">
        <v>33810</v>
      </c>
      <c r="K590" s="18">
        <f t="shared" si="92"/>
        <v>3466190</v>
      </c>
      <c r="L590" s="19">
        <f t="shared" si="93"/>
        <v>35511450</v>
      </c>
      <c r="M590" s="20"/>
      <c r="N590" s="20"/>
      <c r="P590" s="55"/>
      <c r="Q590" s="55"/>
      <c r="R590" s="14"/>
      <c r="S590" s="14"/>
    </row>
    <row r="591" spans="2:19" ht="12.95" hidden="1" customHeight="1" x14ac:dyDescent="0.25">
      <c r="B591" s="16">
        <v>43060.125</v>
      </c>
      <c r="C591" s="50" t="s">
        <v>572</v>
      </c>
      <c r="D591" s="34"/>
      <c r="E591" s="37">
        <v>3500000</v>
      </c>
      <c r="F591" s="37"/>
      <c r="G591" s="37">
        <f t="shared" si="91"/>
        <v>3500000</v>
      </c>
      <c r="H591" s="64">
        <v>0</v>
      </c>
      <c r="I591" s="64">
        <v>0</v>
      </c>
      <c r="J591" s="64">
        <v>33810</v>
      </c>
      <c r="K591" s="18">
        <f t="shared" si="92"/>
        <v>3466190</v>
      </c>
      <c r="L591" s="19">
        <f t="shared" si="93"/>
        <v>32011450</v>
      </c>
      <c r="M591" s="20"/>
      <c r="N591" s="20"/>
      <c r="P591" s="55"/>
      <c r="Q591" s="55"/>
      <c r="R591" s="14"/>
      <c r="S591" s="14"/>
    </row>
    <row r="592" spans="2:19" ht="12.95" hidden="1" customHeight="1" x14ac:dyDescent="0.25">
      <c r="B592" s="16">
        <v>43060.125</v>
      </c>
      <c r="C592" s="50" t="s">
        <v>573</v>
      </c>
      <c r="D592" s="34"/>
      <c r="E592" s="37">
        <v>3527878</v>
      </c>
      <c r="F592" s="37"/>
      <c r="G592" s="37">
        <f t="shared" si="91"/>
        <v>3527878</v>
      </c>
      <c r="H592" s="64">
        <v>0</v>
      </c>
      <c r="I592" s="64">
        <v>0</v>
      </c>
      <c r="J592" s="64"/>
      <c r="K592" s="18">
        <f t="shared" si="92"/>
        <v>3527878</v>
      </c>
      <c r="L592" s="19">
        <f t="shared" si="93"/>
        <v>28483572</v>
      </c>
      <c r="M592" s="20"/>
      <c r="N592" s="20"/>
      <c r="P592" s="55"/>
      <c r="Q592" s="55"/>
      <c r="R592" s="14"/>
      <c r="S592" s="14"/>
    </row>
    <row r="593" spans="2:19" ht="12.95" hidden="1" customHeight="1" x14ac:dyDescent="0.25">
      <c r="B593" s="16">
        <v>43080.125</v>
      </c>
      <c r="C593" s="50" t="s">
        <v>574</v>
      </c>
      <c r="D593" s="34"/>
      <c r="E593" s="37">
        <v>3500000</v>
      </c>
      <c r="F593" s="37"/>
      <c r="G593" s="37">
        <f t="shared" si="91"/>
        <v>3500000</v>
      </c>
      <c r="H593" s="64"/>
      <c r="I593" s="64">
        <v>0</v>
      </c>
      <c r="J593" s="64">
        <v>33810</v>
      </c>
      <c r="K593" s="18">
        <f t="shared" si="92"/>
        <v>3466190</v>
      </c>
      <c r="L593" s="19">
        <f t="shared" si="93"/>
        <v>24983572</v>
      </c>
      <c r="M593" s="20"/>
      <c r="N593" s="20"/>
      <c r="P593" s="55"/>
      <c r="Q593" s="55"/>
      <c r="R593" s="14"/>
      <c r="S593" s="14"/>
    </row>
    <row r="594" spans="2:19" ht="12.95" hidden="1" customHeight="1" x14ac:dyDescent="0.25">
      <c r="B594" s="16">
        <v>43095.125</v>
      </c>
      <c r="C594" s="50" t="s">
        <v>575</v>
      </c>
      <c r="D594" s="34"/>
      <c r="E594" s="37">
        <v>5865341</v>
      </c>
      <c r="F594" s="37"/>
      <c r="G594" s="37">
        <f t="shared" si="91"/>
        <v>5865341</v>
      </c>
      <c r="H594" s="64">
        <v>0</v>
      </c>
      <c r="I594" s="64">
        <v>0</v>
      </c>
      <c r="J594" s="64">
        <v>0</v>
      </c>
      <c r="K594" s="18">
        <f t="shared" si="92"/>
        <v>5865341</v>
      </c>
      <c r="L594" s="19">
        <f t="shared" si="93"/>
        <v>19118231</v>
      </c>
      <c r="M594" s="20"/>
      <c r="N594" s="20"/>
      <c r="P594" s="55"/>
      <c r="Q594" s="55"/>
      <c r="R594" s="14"/>
      <c r="S594" s="14"/>
    </row>
    <row r="595" spans="2:19" ht="12.95" hidden="1" customHeight="1" x14ac:dyDescent="0.25">
      <c r="B595" s="16">
        <v>43159.125</v>
      </c>
      <c r="C595" s="50" t="s">
        <v>576</v>
      </c>
      <c r="D595" s="34"/>
      <c r="E595" s="37">
        <v>2805986</v>
      </c>
      <c r="F595" s="37"/>
      <c r="G595" s="37">
        <f t="shared" si="91"/>
        <v>2805986</v>
      </c>
      <c r="H595" s="64">
        <v>0</v>
      </c>
      <c r="I595" s="64">
        <v>0</v>
      </c>
      <c r="J595" s="64">
        <v>0</v>
      </c>
      <c r="K595" s="18">
        <f t="shared" si="92"/>
        <v>2805986</v>
      </c>
      <c r="L595" s="19">
        <f>+L594-G595</f>
        <v>16312245</v>
      </c>
      <c r="M595" s="20"/>
      <c r="N595" s="20"/>
      <c r="P595" s="55"/>
      <c r="Q595" s="55"/>
      <c r="R595" s="14"/>
      <c r="S595" s="14"/>
    </row>
    <row r="596" spans="2:19" ht="12.95" hidden="1" customHeight="1" x14ac:dyDescent="0.25">
      <c r="B596" s="16">
        <v>43164.125</v>
      </c>
      <c r="C596" s="50" t="s">
        <v>577</v>
      </c>
      <c r="D596" s="34"/>
      <c r="E596" s="37">
        <v>3500000</v>
      </c>
      <c r="F596" s="37"/>
      <c r="G596" s="37">
        <f t="shared" si="91"/>
        <v>3500000</v>
      </c>
      <c r="H596" s="64">
        <v>0</v>
      </c>
      <c r="I596" s="64">
        <v>0</v>
      </c>
      <c r="J596" s="64">
        <v>29955.66</v>
      </c>
      <c r="K596" s="18">
        <f>+G596-I596-J596</f>
        <v>3470044.34</v>
      </c>
      <c r="L596" s="19">
        <f>+L595-G596</f>
        <v>12812245</v>
      </c>
      <c r="M596" s="20"/>
      <c r="N596" s="20"/>
      <c r="O596" s="81"/>
      <c r="P596" s="55"/>
      <c r="Q596" s="55"/>
      <c r="R596" s="14"/>
      <c r="S596" s="14"/>
    </row>
    <row r="597" spans="2:19" ht="12.95" hidden="1" customHeight="1" x14ac:dyDescent="0.25">
      <c r="B597" s="16">
        <v>43222</v>
      </c>
      <c r="C597" s="50" t="s">
        <v>578</v>
      </c>
      <c r="D597" s="34"/>
      <c r="E597" s="37">
        <v>816667</v>
      </c>
      <c r="F597" s="37"/>
      <c r="G597" s="37">
        <f>+E597</f>
        <v>816667</v>
      </c>
      <c r="H597" s="64">
        <v>0</v>
      </c>
      <c r="I597" s="64">
        <v>0</v>
      </c>
      <c r="J597" s="64">
        <v>6989.66</v>
      </c>
      <c r="K597" s="18">
        <f>+G597-I597-J597</f>
        <v>809677.34</v>
      </c>
      <c r="L597" s="19">
        <f>+L596-G597</f>
        <v>11995578</v>
      </c>
      <c r="M597" s="20"/>
      <c r="N597" s="20"/>
      <c r="O597" s="81"/>
      <c r="P597" s="55"/>
      <c r="Q597" s="55"/>
      <c r="R597" s="14"/>
      <c r="S597" s="14"/>
    </row>
    <row r="598" spans="2:19" ht="12.95" hidden="1" customHeight="1" x14ac:dyDescent="0.25">
      <c r="B598" s="9" t="s">
        <v>579</v>
      </c>
      <c r="C598" s="10"/>
      <c r="D598" s="10">
        <f>99680000+30000000</f>
        <v>129680000</v>
      </c>
      <c r="E598" s="11">
        <f>+D598</f>
        <v>129680000</v>
      </c>
      <c r="F598" s="11"/>
      <c r="G598" s="11"/>
      <c r="H598" s="11"/>
      <c r="I598" s="11"/>
      <c r="J598" s="11"/>
      <c r="K598" s="11"/>
      <c r="L598" s="11">
        <f>+D598</f>
        <v>129680000</v>
      </c>
      <c r="M598" s="12"/>
      <c r="N598" s="12"/>
      <c r="P598" s="55"/>
      <c r="Q598" s="55"/>
      <c r="R598" s="14"/>
      <c r="S598" s="14"/>
    </row>
    <row r="599" spans="2:19" ht="12.95" hidden="1" customHeight="1" x14ac:dyDescent="0.25">
      <c r="B599" s="16">
        <v>42800</v>
      </c>
      <c r="C599" s="50" t="s">
        <v>580</v>
      </c>
      <c r="D599" s="34"/>
      <c r="E599" s="37">
        <v>8900000</v>
      </c>
      <c r="F599" s="37"/>
      <c r="G599" s="37">
        <f>+E599</f>
        <v>8900000</v>
      </c>
      <c r="H599" s="64">
        <v>0</v>
      </c>
      <c r="I599" s="64">
        <v>849512.02</v>
      </c>
      <c r="J599" s="64">
        <v>85974</v>
      </c>
      <c r="K599" s="18">
        <f>+G599-I599-J599</f>
        <v>7964513.9800000004</v>
      </c>
      <c r="L599" s="19">
        <f>+L598-G599</f>
        <v>120780000</v>
      </c>
      <c r="M599" s="20"/>
      <c r="N599" s="20"/>
      <c r="P599" s="55"/>
      <c r="Q599" s="55"/>
      <c r="R599" s="14"/>
      <c r="S599" s="14"/>
    </row>
    <row r="600" spans="2:19" ht="12.95" hidden="1" customHeight="1" x14ac:dyDescent="0.25">
      <c r="B600" s="16">
        <v>42831</v>
      </c>
      <c r="C600" s="50" t="s">
        <v>581</v>
      </c>
      <c r="D600" s="34"/>
      <c r="E600" s="37">
        <v>8900000</v>
      </c>
      <c r="F600" s="37"/>
      <c r="G600" s="37">
        <f>+E600</f>
        <v>8900000</v>
      </c>
      <c r="H600" s="64"/>
      <c r="I600" s="64">
        <v>849512.02</v>
      </c>
      <c r="J600" s="64">
        <v>76172.960000000006</v>
      </c>
      <c r="K600" s="18">
        <f>+G600-I600-J600</f>
        <v>7974315.0200000005</v>
      </c>
      <c r="L600" s="19">
        <f>+L599-G600</f>
        <v>111880000</v>
      </c>
      <c r="M600" s="20"/>
      <c r="N600" s="20"/>
      <c r="P600" s="55"/>
      <c r="Q600" s="55"/>
      <c r="R600" s="14"/>
      <c r="S600" s="14"/>
    </row>
    <row r="601" spans="2:19" ht="12.95" hidden="1" customHeight="1" x14ac:dyDescent="0.25">
      <c r="B601" s="16">
        <v>42831</v>
      </c>
      <c r="C601" s="50" t="s">
        <v>582</v>
      </c>
      <c r="D601" s="34"/>
      <c r="E601" s="37">
        <v>81880000</v>
      </c>
      <c r="F601" s="37"/>
      <c r="G601" s="37">
        <f>+E601</f>
        <v>81880000</v>
      </c>
      <c r="H601" s="64"/>
      <c r="I601" s="64">
        <v>0</v>
      </c>
      <c r="J601" s="64">
        <v>0</v>
      </c>
      <c r="K601" s="18">
        <f>+G601-I601-J601</f>
        <v>81880000</v>
      </c>
      <c r="L601" s="19">
        <f>+L600-G601</f>
        <v>30000000</v>
      </c>
      <c r="M601" s="20"/>
      <c r="N601" s="20"/>
      <c r="P601" s="55"/>
      <c r="Q601" s="55"/>
      <c r="R601" s="14"/>
      <c r="S601" s="14"/>
    </row>
    <row r="602" spans="2:19" ht="12.95" hidden="1" customHeight="1" x14ac:dyDescent="0.25">
      <c r="B602" s="16">
        <v>42831</v>
      </c>
      <c r="C602" s="50" t="s">
        <v>583</v>
      </c>
      <c r="D602" s="34"/>
      <c r="E602" s="37">
        <v>30000000</v>
      </c>
      <c r="F602" s="37"/>
      <c r="G602" s="37">
        <f>+E602</f>
        <v>30000000</v>
      </c>
      <c r="H602" s="64"/>
      <c r="I602" s="64">
        <v>0</v>
      </c>
      <c r="J602" s="64">
        <v>0</v>
      </c>
      <c r="K602" s="18">
        <f>+G602-I602-J602</f>
        <v>30000000</v>
      </c>
      <c r="L602" s="19">
        <f>+L601-G602</f>
        <v>0</v>
      </c>
      <c r="M602" s="20"/>
      <c r="N602" s="20"/>
      <c r="P602" s="55"/>
      <c r="Q602" s="55"/>
      <c r="R602" s="14"/>
      <c r="S602" s="14"/>
    </row>
    <row r="603" spans="2:19" ht="12.95" hidden="1" customHeight="1" x14ac:dyDescent="0.25">
      <c r="B603" s="9" t="s">
        <v>584</v>
      </c>
      <c r="C603" s="10"/>
      <c r="D603" s="10">
        <v>56000000</v>
      </c>
      <c r="E603" s="11">
        <f>+D603</f>
        <v>56000000</v>
      </c>
      <c r="F603" s="272"/>
      <c r="G603" s="272"/>
      <c r="H603" s="272"/>
      <c r="I603" s="272"/>
      <c r="J603" s="272"/>
      <c r="K603" s="272"/>
      <c r="L603" s="11">
        <f>+D603</f>
        <v>56000000</v>
      </c>
      <c r="M603" s="12"/>
      <c r="N603" s="12"/>
      <c r="P603" s="55"/>
      <c r="Q603" s="55"/>
      <c r="R603" s="14"/>
      <c r="S603" s="14"/>
    </row>
    <row r="604" spans="2:19" ht="12.95" hidden="1" customHeight="1" x14ac:dyDescent="0.25">
      <c r="B604" s="16">
        <v>42807</v>
      </c>
      <c r="C604" s="50" t="s">
        <v>585</v>
      </c>
      <c r="D604" s="34"/>
      <c r="E604" s="37">
        <v>5000000</v>
      </c>
      <c r="F604" s="37"/>
      <c r="G604" s="37">
        <f t="shared" ref="G604:G615" si="94">+E604</f>
        <v>5000000</v>
      </c>
      <c r="H604" s="64">
        <v>0</v>
      </c>
      <c r="I604" s="64">
        <v>137445.04999999999</v>
      </c>
      <c r="J604" s="64">
        <v>48300</v>
      </c>
      <c r="K604" s="18">
        <f t="shared" ref="K604:K615" si="95">+G604-I604-J604</f>
        <v>4814254.95</v>
      </c>
      <c r="L604" s="19">
        <f t="shared" ref="L604:L615" si="96">+L603-G604</f>
        <v>51000000</v>
      </c>
      <c r="M604" s="20"/>
      <c r="N604" s="20"/>
      <c r="P604" s="55"/>
      <c r="Q604" s="55"/>
      <c r="R604" s="14"/>
      <c r="S604" s="14"/>
    </row>
    <row r="605" spans="2:19" ht="12.95" hidden="1" customHeight="1" x14ac:dyDescent="0.25">
      <c r="B605" s="16">
        <v>42845</v>
      </c>
      <c r="C605" s="50" t="s">
        <v>586</v>
      </c>
      <c r="D605" s="34"/>
      <c r="E605" s="37">
        <v>5000000</v>
      </c>
      <c r="F605" s="37"/>
      <c r="G605" s="37">
        <f t="shared" si="94"/>
        <v>5000000</v>
      </c>
      <c r="H605" s="64">
        <v>0</v>
      </c>
      <c r="I605" s="64">
        <v>137445.04999999999</v>
      </c>
      <c r="J605" s="64">
        <v>48300</v>
      </c>
      <c r="K605" s="18">
        <f t="shared" si="95"/>
        <v>4814254.95</v>
      </c>
      <c r="L605" s="19">
        <f t="shared" si="96"/>
        <v>46000000</v>
      </c>
      <c r="M605" s="20"/>
      <c r="N605" s="20"/>
      <c r="P605" s="55"/>
      <c r="Q605" s="55"/>
      <c r="R605" s="14"/>
      <c r="S605" s="14"/>
    </row>
    <row r="606" spans="2:19" ht="12.95" hidden="1" customHeight="1" x14ac:dyDescent="0.25">
      <c r="B606" s="16">
        <v>42909</v>
      </c>
      <c r="C606" s="50" t="s">
        <v>587</v>
      </c>
      <c r="D606" s="34"/>
      <c r="E606" s="37">
        <v>5000000</v>
      </c>
      <c r="F606" s="37"/>
      <c r="G606" s="37">
        <f t="shared" si="94"/>
        <v>5000000</v>
      </c>
      <c r="H606" s="64">
        <v>0</v>
      </c>
      <c r="I606" s="64">
        <v>137445.04999999999</v>
      </c>
      <c r="J606" s="64">
        <v>48300</v>
      </c>
      <c r="K606" s="18">
        <f t="shared" si="95"/>
        <v>4814254.95</v>
      </c>
      <c r="L606" s="19">
        <f t="shared" si="96"/>
        <v>41000000</v>
      </c>
      <c r="M606" s="20"/>
      <c r="N606" s="20"/>
      <c r="P606" s="55"/>
      <c r="Q606" s="55"/>
      <c r="R606" s="14"/>
      <c r="S606" s="14"/>
    </row>
    <row r="607" spans="2:19" ht="12.95" hidden="1" customHeight="1" x14ac:dyDescent="0.25">
      <c r="B607" s="16">
        <v>42908</v>
      </c>
      <c r="C607" s="50" t="s">
        <v>588</v>
      </c>
      <c r="D607" s="34"/>
      <c r="E607" s="37">
        <v>5000000</v>
      </c>
      <c r="F607" s="37"/>
      <c r="G607" s="37">
        <f t="shared" si="94"/>
        <v>5000000</v>
      </c>
      <c r="H607" s="64">
        <v>0</v>
      </c>
      <c r="I607" s="64">
        <v>137445.04999999999</v>
      </c>
      <c r="J607" s="64">
        <v>48300</v>
      </c>
      <c r="K607" s="18">
        <f t="shared" si="95"/>
        <v>4814254.95</v>
      </c>
      <c r="L607" s="19">
        <f t="shared" si="96"/>
        <v>36000000</v>
      </c>
      <c r="M607" s="20"/>
      <c r="N607" s="20"/>
      <c r="P607" s="55"/>
      <c r="Q607" s="55"/>
      <c r="R607" s="14"/>
      <c r="S607" s="14"/>
    </row>
    <row r="608" spans="2:19" ht="12.95" hidden="1" customHeight="1" x14ac:dyDescent="0.25">
      <c r="B608" s="16">
        <v>42949</v>
      </c>
      <c r="C608" s="50" t="s">
        <v>589</v>
      </c>
      <c r="D608" s="34"/>
      <c r="E608" s="37">
        <v>5000000</v>
      </c>
      <c r="F608" s="37"/>
      <c r="G608" s="37">
        <f t="shared" si="94"/>
        <v>5000000</v>
      </c>
      <c r="H608" s="64">
        <v>0</v>
      </c>
      <c r="I608" s="64">
        <v>137445.04999999999</v>
      </c>
      <c r="J608" s="64">
        <v>48300</v>
      </c>
      <c r="K608" s="18">
        <f t="shared" si="95"/>
        <v>4814254.95</v>
      </c>
      <c r="L608" s="19">
        <f t="shared" si="96"/>
        <v>31000000</v>
      </c>
      <c r="M608" s="20"/>
      <c r="N608" s="20"/>
      <c r="P608" s="55"/>
      <c r="Q608" s="55"/>
      <c r="R608" s="14"/>
      <c r="S608" s="14"/>
    </row>
    <row r="609" spans="2:19" ht="12.95" hidden="1" customHeight="1" x14ac:dyDescent="0.25">
      <c r="B609" s="16">
        <v>42978</v>
      </c>
      <c r="C609" s="50" t="s">
        <v>590</v>
      </c>
      <c r="D609" s="34"/>
      <c r="E609" s="37">
        <v>5000000</v>
      </c>
      <c r="F609" s="37"/>
      <c r="G609" s="37">
        <f t="shared" si="94"/>
        <v>5000000</v>
      </c>
      <c r="H609" s="64">
        <v>0</v>
      </c>
      <c r="I609" s="64">
        <v>137445.04999999999</v>
      </c>
      <c r="J609" s="64">
        <v>48300</v>
      </c>
      <c r="K609" s="18">
        <f t="shared" si="95"/>
        <v>4814254.95</v>
      </c>
      <c r="L609" s="19">
        <f t="shared" si="96"/>
        <v>26000000</v>
      </c>
      <c r="M609" s="20"/>
      <c r="N609" s="20"/>
      <c r="P609" s="55"/>
      <c r="Q609" s="55"/>
      <c r="R609" s="14"/>
      <c r="S609" s="14"/>
    </row>
    <row r="610" spans="2:19" ht="12.95" hidden="1" customHeight="1" x14ac:dyDescent="0.25">
      <c r="B610" s="16">
        <v>43020</v>
      </c>
      <c r="C610" s="50" t="s">
        <v>591</v>
      </c>
      <c r="D610" s="34"/>
      <c r="E610" s="37">
        <v>5000000</v>
      </c>
      <c r="F610" s="37"/>
      <c r="G610" s="37">
        <f t="shared" si="94"/>
        <v>5000000</v>
      </c>
      <c r="H610" s="64">
        <v>0</v>
      </c>
      <c r="I610" s="64">
        <v>137445.04999999999</v>
      </c>
      <c r="J610" s="64">
        <v>48300</v>
      </c>
      <c r="K610" s="18">
        <f t="shared" si="95"/>
        <v>4814254.95</v>
      </c>
      <c r="L610" s="19">
        <f t="shared" si="96"/>
        <v>21000000</v>
      </c>
      <c r="M610" s="20"/>
      <c r="N610" s="20"/>
      <c r="P610" s="55"/>
      <c r="Q610" s="55"/>
      <c r="R610" s="14"/>
      <c r="S610" s="14"/>
    </row>
    <row r="611" spans="2:19" ht="12.95" hidden="1" customHeight="1" x14ac:dyDescent="0.25">
      <c r="B611" s="16">
        <v>43095.125</v>
      </c>
      <c r="C611" s="50" t="s">
        <v>592</v>
      </c>
      <c r="D611" s="34"/>
      <c r="E611" s="37">
        <v>5000000</v>
      </c>
      <c r="F611" s="37"/>
      <c r="G611" s="37">
        <f t="shared" si="94"/>
        <v>5000000</v>
      </c>
      <c r="H611" s="64"/>
      <c r="I611" s="64">
        <v>137445.04999999999</v>
      </c>
      <c r="J611" s="64">
        <v>48300</v>
      </c>
      <c r="K611" s="18">
        <f t="shared" si="95"/>
        <v>4814254.95</v>
      </c>
      <c r="L611" s="19">
        <f t="shared" si="96"/>
        <v>16000000</v>
      </c>
      <c r="M611" s="20"/>
      <c r="N611" s="20"/>
      <c r="P611" s="55"/>
      <c r="Q611" s="55"/>
      <c r="R611" s="14"/>
      <c r="S611" s="14"/>
    </row>
    <row r="612" spans="2:19" ht="12.95" hidden="1" customHeight="1" x14ac:dyDescent="0.25">
      <c r="B612" s="16">
        <v>43133.125</v>
      </c>
      <c r="C612" s="50" t="s">
        <v>593</v>
      </c>
      <c r="D612" s="34"/>
      <c r="E612" s="37">
        <v>5000000</v>
      </c>
      <c r="F612" s="37"/>
      <c r="G612" s="37">
        <f t="shared" si="94"/>
        <v>5000000</v>
      </c>
      <c r="H612" s="64"/>
      <c r="I612" s="64">
        <v>114034.19</v>
      </c>
      <c r="J612" s="64">
        <v>48300</v>
      </c>
      <c r="K612" s="18">
        <f t="shared" si="95"/>
        <v>4837665.8099999996</v>
      </c>
      <c r="L612" s="19">
        <f t="shared" si="96"/>
        <v>11000000</v>
      </c>
      <c r="M612" s="20"/>
      <c r="N612" s="20"/>
      <c r="P612" s="55"/>
      <c r="Q612" s="55"/>
      <c r="R612" s="14"/>
      <c r="S612" s="14"/>
    </row>
    <row r="613" spans="2:19" ht="12.95" hidden="1" customHeight="1" x14ac:dyDescent="0.25">
      <c r="B613" s="16">
        <v>43133.125</v>
      </c>
      <c r="C613" s="50" t="s">
        <v>594</v>
      </c>
      <c r="D613" s="34"/>
      <c r="E613" s="37">
        <v>5000000</v>
      </c>
      <c r="F613" s="37"/>
      <c r="G613" s="37">
        <f t="shared" si="94"/>
        <v>5000000</v>
      </c>
      <c r="H613" s="64"/>
      <c r="I613" s="64">
        <v>114034.19</v>
      </c>
      <c r="J613" s="64">
        <v>48300</v>
      </c>
      <c r="K613" s="18">
        <f t="shared" si="95"/>
        <v>4837665.8099999996</v>
      </c>
      <c r="L613" s="19">
        <f t="shared" si="96"/>
        <v>6000000</v>
      </c>
      <c r="M613" s="20"/>
      <c r="N613" s="20"/>
      <c r="P613" s="55"/>
      <c r="Q613" s="55"/>
      <c r="R613" s="14"/>
      <c r="S613" s="14"/>
    </row>
    <row r="614" spans="2:19" ht="12.95" hidden="1" customHeight="1" x14ac:dyDescent="0.25">
      <c r="B614" s="16">
        <v>43136.125</v>
      </c>
      <c r="C614" s="50" t="s">
        <v>595</v>
      </c>
      <c r="D614" s="34"/>
      <c r="E614" s="37">
        <v>5000000</v>
      </c>
      <c r="F614" s="37"/>
      <c r="G614" s="37">
        <f t="shared" si="94"/>
        <v>5000000</v>
      </c>
      <c r="H614" s="64"/>
      <c r="I614" s="64">
        <v>114034.19</v>
      </c>
      <c r="J614" s="64">
        <v>48300</v>
      </c>
      <c r="K614" s="18">
        <f t="shared" si="95"/>
        <v>4837665.8099999996</v>
      </c>
      <c r="L614" s="19">
        <f t="shared" si="96"/>
        <v>1000000</v>
      </c>
      <c r="M614" s="20"/>
      <c r="N614" s="20"/>
      <c r="P614" s="55"/>
      <c r="Q614" s="55"/>
      <c r="R614" s="14"/>
      <c r="S614" s="14"/>
    </row>
    <row r="615" spans="2:19" ht="12.95" hidden="1" customHeight="1" x14ac:dyDescent="0.25">
      <c r="B615" s="16">
        <v>43136.125</v>
      </c>
      <c r="C615" s="50" t="s">
        <v>24</v>
      </c>
      <c r="D615" s="34"/>
      <c r="E615" s="37">
        <v>1000000</v>
      </c>
      <c r="F615" s="37"/>
      <c r="G615" s="37">
        <f t="shared" si="94"/>
        <v>1000000</v>
      </c>
      <c r="H615" s="64">
        <v>0</v>
      </c>
      <c r="I615" s="64">
        <v>0</v>
      </c>
      <c r="J615" s="64">
        <v>0</v>
      </c>
      <c r="K615" s="18">
        <f t="shared" si="95"/>
        <v>1000000</v>
      </c>
      <c r="L615" s="19">
        <f t="shared" si="96"/>
        <v>0</v>
      </c>
      <c r="M615" s="20"/>
      <c r="N615" s="20"/>
      <c r="P615" s="55"/>
      <c r="Q615" s="55"/>
      <c r="R615" s="14"/>
      <c r="S615" s="14"/>
    </row>
    <row r="616" spans="2:19" ht="12.95" hidden="1" customHeight="1" x14ac:dyDescent="0.25">
      <c r="B616" s="9" t="s">
        <v>596</v>
      </c>
      <c r="C616" s="10"/>
      <c r="D616" s="10">
        <v>61383000</v>
      </c>
      <c r="E616" s="11">
        <f>+D616</f>
        <v>61383000</v>
      </c>
      <c r="F616" s="11"/>
      <c r="G616" s="11"/>
      <c r="H616" s="11"/>
      <c r="I616" s="11"/>
      <c r="J616" s="11"/>
      <c r="K616" s="11"/>
      <c r="L616" s="11">
        <f>+D616</f>
        <v>61383000</v>
      </c>
      <c r="M616" s="12"/>
      <c r="N616" s="12"/>
      <c r="P616" s="55"/>
      <c r="Q616" s="55"/>
      <c r="R616" s="14"/>
      <c r="S616" s="14"/>
    </row>
    <row r="617" spans="2:19" ht="12.95" hidden="1" customHeight="1" x14ac:dyDescent="0.25">
      <c r="B617" s="16">
        <v>42807</v>
      </c>
      <c r="C617" s="50" t="s">
        <v>597</v>
      </c>
      <c r="D617" s="34"/>
      <c r="E617" s="37">
        <v>5530000</v>
      </c>
      <c r="F617" s="37"/>
      <c r="G617" s="37">
        <f t="shared" ref="G617:G628" si="97">+E617</f>
        <v>5530000</v>
      </c>
      <c r="H617" s="64">
        <v>0</v>
      </c>
      <c r="I617" s="64">
        <v>134167.54999999999</v>
      </c>
      <c r="J617" s="64">
        <v>53419.8</v>
      </c>
      <c r="K617" s="18">
        <f t="shared" ref="K617:K628" si="98">+G617-I617-J617</f>
        <v>5342412.6500000004</v>
      </c>
      <c r="L617" s="19">
        <f t="shared" ref="L617:L628" si="99">+L616-G617</f>
        <v>55853000</v>
      </c>
      <c r="M617" s="20"/>
      <c r="N617" s="20"/>
      <c r="P617" s="55"/>
      <c r="Q617" s="55"/>
      <c r="R617" s="14"/>
      <c r="S617" s="14"/>
    </row>
    <row r="618" spans="2:19" ht="12.95" hidden="1" customHeight="1" x14ac:dyDescent="0.25">
      <c r="B618" s="16">
        <v>42831</v>
      </c>
      <c r="C618" s="50" t="s">
        <v>598</v>
      </c>
      <c r="D618" s="34"/>
      <c r="E618" s="37">
        <v>5530000</v>
      </c>
      <c r="F618" s="64"/>
      <c r="G618" s="37">
        <f t="shared" si="97"/>
        <v>5530000</v>
      </c>
      <c r="H618" s="64"/>
      <c r="I618" s="64">
        <v>134167.54999999999</v>
      </c>
      <c r="J618" s="64">
        <v>47329.94</v>
      </c>
      <c r="K618" s="18">
        <f t="shared" si="98"/>
        <v>5348502.51</v>
      </c>
      <c r="L618" s="19">
        <f t="shared" si="99"/>
        <v>50323000</v>
      </c>
      <c r="M618" s="20"/>
      <c r="N618" s="20"/>
      <c r="P618" s="55"/>
      <c r="Q618" s="55"/>
      <c r="R618" s="14"/>
      <c r="S618" s="14"/>
    </row>
    <row r="619" spans="2:19" ht="12.95" hidden="1" customHeight="1" x14ac:dyDescent="0.25">
      <c r="B619" s="16">
        <v>42860</v>
      </c>
      <c r="C619" s="50" t="s">
        <v>599</v>
      </c>
      <c r="D619" s="34"/>
      <c r="E619" s="37">
        <v>5530000</v>
      </c>
      <c r="F619" s="64"/>
      <c r="G619" s="37">
        <f t="shared" si="97"/>
        <v>5530000</v>
      </c>
      <c r="H619" s="64"/>
      <c r="I619" s="64">
        <v>134167.54999999999</v>
      </c>
      <c r="J619" s="64">
        <v>53419.8</v>
      </c>
      <c r="K619" s="18">
        <f t="shared" si="98"/>
        <v>5342412.6500000004</v>
      </c>
      <c r="L619" s="19">
        <f t="shared" si="99"/>
        <v>44793000</v>
      </c>
      <c r="M619" s="20"/>
      <c r="N619" s="20"/>
      <c r="P619" s="55"/>
      <c r="Q619" s="55"/>
      <c r="R619" s="14"/>
      <c r="S619" s="14"/>
    </row>
    <row r="620" spans="2:19" ht="12.95" hidden="1" customHeight="1" x14ac:dyDescent="0.25">
      <c r="B620" s="16">
        <v>42908</v>
      </c>
      <c r="C620" s="50" t="s">
        <v>600</v>
      </c>
      <c r="D620" s="34"/>
      <c r="E620" s="37">
        <v>5530000</v>
      </c>
      <c r="F620" s="64"/>
      <c r="G620" s="37">
        <f t="shared" si="97"/>
        <v>5530000</v>
      </c>
      <c r="H620" s="64"/>
      <c r="I620" s="64">
        <v>134167.54999999999</v>
      </c>
      <c r="J620" s="64">
        <v>53419.8</v>
      </c>
      <c r="K620" s="18">
        <f t="shared" si="98"/>
        <v>5342412.6500000004</v>
      </c>
      <c r="L620" s="19">
        <f t="shared" si="99"/>
        <v>39263000</v>
      </c>
      <c r="M620" s="20"/>
      <c r="N620" s="20"/>
      <c r="P620" s="55"/>
      <c r="Q620" s="55"/>
      <c r="R620" s="14"/>
      <c r="S620" s="14"/>
    </row>
    <row r="621" spans="2:19" ht="12.95" hidden="1" customHeight="1" x14ac:dyDescent="0.25">
      <c r="B621" s="16">
        <v>42944</v>
      </c>
      <c r="C621" s="50" t="s">
        <v>601</v>
      </c>
      <c r="D621" s="34"/>
      <c r="E621" s="37">
        <v>5530000</v>
      </c>
      <c r="F621" s="64"/>
      <c r="G621" s="37">
        <f t="shared" si="97"/>
        <v>5530000</v>
      </c>
      <c r="H621" s="64"/>
      <c r="I621" s="64">
        <v>134167.54999999999</v>
      </c>
      <c r="J621" s="64">
        <v>53419.8</v>
      </c>
      <c r="K621" s="18">
        <f t="shared" si="98"/>
        <v>5342412.6500000004</v>
      </c>
      <c r="L621" s="19">
        <f t="shared" si="99"/>
        <v>33733000</v>
      </c>
      <c r="M621" s="20"/>
      <c r="N621" s="20"/>
      <c r="P621" s="55"/>
      <c r="Q621" s="55"/>
      <c r="R621" s="14"/>
      <c r="S621" s="14"/>
    </row>
    <row r="622" spans="2:19" ht="12.95" hidden="1" customHeight="1" x14ac:dyDescent="0.25">
      <c r="B622" s="16">
        <v>42965</v>
      </c>
      <c r="C622" s="50" t="s">
        <v>602</v>
      </c>
      <c r="D622" s="34"/>
      <c r="E622" s="37">
        <v>5530000</v>
      </c>
      <c r="F622" s="64"/>
      <c r="G622" s="37">
        <f t="shared" si="97"/>
        <v>5530000</v>
      </c>
      <c r="H622" s="64"/>
      <c r="I622" s="64">
        <v>134167.54999999999</v>
      </c>
      <c r="J622" s="64">
        <v>53419.8</v>
      </c>
      <c r="K622" s="18">
        <f t="shared" si="98"/>
        <v>5342412.6500000004</v>
      </c>
      <c r="L622" s="19">
        <f t="shared" si="99"/>
        <v>28203000</v>
      </c>
      <c r="M622" s="20"/>
      <c r="N622" s="20"/>
      <c r="P622" s="55"/>
      <c r="Q622" s="55"/>
      <c r="R622" s="14"/>
      <c r="S622" s="14"/>
    </row>
    <row r="623" spans="2:19" ht="12.95" hidden="1" customHeight="1" x14ac:dyDescent="0.25">
      <c r="B623" s="16">
        <v>42993</v>
      </c>
      <c r="C623" s="50" t="s">
        <v>603</v>
      </c>
      <c r="D623" s="34"/>
      <c r="E623" s="37">
        <v>5530000</v>
      </c>
      <c r="F623" s="64"/>
      <c r="G623" s="37">
        <f t="shared" si="97"/>
        <v>5530000</v>
      </c>
      <c r="H623" s="64"/>
      <c r="I623" s="64">
        <v>134167.54999999999</v>
      </c>
      <c r="J623" s="64">
        <v>53419.8</v>
      </c>
      <c r="K623" s="18">
        <f t="shared" si="98"/>
        <v>5342412.6500000004</v>
      </c>
      <c r="L623" s="19">
        <f t="shared" si="99"/>
        <v>22673000</v>
      </c>
      <c r="M623" s="20"/>
      <c r="N623" s="20"/>
      <c r="P623" s="55"/>
      <c r="Q623" s="55"/>
      <c r="R623" s="14"/>
      <c r="S623" s="14"/>
    </row>
    <row r="624" spans="2:19" ht="12.95" hidden="1" customHeight="1" x14ac:dyDescent="0.25">
      <c r="B624" s="16">
        <v>43020</v>
      </c>
      <c r="C624" s="50" t="s">
        <v>604</v>
      </c>
      <c r="D624" s="34"/>
      <c r="E624" s="37">
        <v>5530000</v>
      </c>
      <c r="F624" s="64"/>
      <c r="G624" s="37">
        <f t="shared" si="97"/>
        <v>5530000</v>
      </c>
      <c r="H624" s="64">
        <v>0</v>
      </c>
      <c r="I624" s="64">
        <v>134167.54999999999</v>
      </c>
      <c r="J624" s="64">
        <v>53419.8</v>
      </c>
      <c r="K624" s="18">
        <f t="shared" si="98"/>
        <v>5342412.6500000004</v>
      </c>
      <c r="L624" s="19">
        <f t="shared" si="99"/>
        <v>17143000</v>
      </c>
      <c r="M624" s="20"/>
      <c r="N624" s="20"/>
      <c r="P624" s="55"/>
      <c r="Q624" s="55"/>
      <c r="R624" s="14"/>
      <c r="S624" s="14"/>
    </row>
    <row r="625" spans="2:19" ht="12.95" hidden="1" customHeight="1" x14ac:dyDescent="0.25">
      <c r="B625" s="16">
        <v>43055</v>
      </c>
      <c r="C625" s="50" t="s">
        <v>605</v>
      </c>
      <c r="D625" s="34"/>
      <c r="E625" s="37">
        <v>5530000</v>
      </c>
      <c r="F625" s="64"/>
      <c r="G625" s="37">
        <f t="shared" si="97"/>
        <v>5530000</v>
      </c>
      <c r="H625" s="64">
        <v>0</v>
      </c>
      <c r="I625" s="64">
        <v>134167.54999999999</v>
      </c>
      <c r="J625" s="64">
        <v>53419.8</v>
      </c>
      <c r="K625" s="18">
        <f t="shared" si="98"/>
        <v>5342412.6500000004</v>
      </c>
      <c r="L625" s="19">
        <f t="shared" si="99"/>
        <v>11613000</v>
      </c>
      <c r="M625" s="20"/>
      <c r="N625" s="20"/>
      <c r="P625" s="55"/>
      <c r="Q625" s="55"/>
      <c r="R625" s="14"/>
      <c r="S625" s="14"/>
    </row>
    <row r="626" spans="2:19" ht="12.95" hidden="1" customHeight="1" x14ac:dyDescent="0.25">
      <c r="B626" s="16">
        <v>43080.125</v>
      </c>
      <c r="C626" s="50" t="s">
        <v>606</v>
      </c>
      <c r="D626" s="34"/>
      <c r="E626" s="37">
        <v>5530000</v>
      </c>
      <c r="F626" s="64"/>
      <c r="G626" s="37">
        <f t="shared" si="97"/>
        <v>5530000</v>
      </c>
      <c r="H626" s="64"/>
      <c r="I626" s="64">
        <v>134167.54999999999</v>
      </c>
      <c r="J626" s="64">
        <v>53419.8</v>
      </c>
      <c r="K626" s="18">
        <f t="shared" si="98"/>
        <v>5342412.6500000004</v>
      </c>
      <c r="L626" s="19">
        <f t="shared" si="99"/>
        <v>6083000</v>
      </c>
      <c r="M626" s="20"/>
      <c r="N626" s="20"/>
      <c r="P626" s="55"/>
      <c r="Q626" s="55"/>
      <c r="R626" s="14"/>
      <c r="S626" s="14"/>
    </row>
    <row r="627" spans="2:19" ht="12.95" hidden="1" customHeight="1" x14ac:dyDescent="0.25">
      <c r="B627" s="16">
        <v>43119.125</v>
      </c>
      <c r="C627" s="50" t="s">
        <v>607</v>
      </c>
      <c r="D627" s="34"/>
      <c r="E627" s="37">
        <v>5530000</v>
      </c>
      <c r="F627" s="64"/>
      <c r="G627" s="37">
        <f t="shared" si="97"/>
        <v>5530000</v>
      </c>
      <c r="H627" s="64"/>
      <c r="I627" s="64">
        <v>134167.54999999999</v>
      </c>
      <c r="J627" s="64">
        <v>53419.8</v>
      </c>
      <c r="K627" s="18">
        <f t="shared" si="98"/>
        <v>5342412.6500000004</v>
      </c>
      <c r="L627" s="19">
        <f t="shared" si="99"/>
        <v>553000</v>
      </c>
      <c r="M627" s="20"/>
      <c r="N627" s="20"/>
      <c r="P627" s="55"/>
      <c r="Q627" s="55"/>
      <c r="R627" s="14"/>
      <c r="S627" s="14"/>
    </row>
    <row r="628" spans="2:19" ht="12.95" hidden="1" customHeight="1" x14ac:dyDescent="0.25">
      <c r="B628" s="16">
        <v>43119.125</v>
      </c>
      <c r="C628" s="50" t="s">
        <v>24</v>
      </c>
      <c r="D628" s="34"/>
      <c r="E628" s="37">
        <v>553000</v>
      </c>
      <c r="F628" s="64"/>
      <c r="G628" s="37">
        <f t="shared" si="97"/>
        <v>553000</v>
      </c>
      <c r="H628" s="64"/>
      <c r="I628" s="64">
        <v>0</v>
      </c>
      <c r="J628" s="64">
        <v>0</v>
      </c>
      <c r="K628" s="18">
        <f t="shared" si="98"/>
        <v>553000</v>
      </c>
      <c r="L628" s="19">
        <f t="shared" si="99"/>
        <v>0</v>
      </c>
      <c r="M628" s="20"/>
      <c r="N628" s="20"/>
      <c r="P628" s="55"/>
      <c r="Q628" s="55"/>
      <c r="R628" s="14"/>
      <c r="S628" s="14"/>
    </row>
    <row r="629" spans="2:19" ht="12.95" hidden="1" customHeight="1" x14ac:dyDescent="0.25">
      <c r="B629" s="9" t="s">
        <v>608</v>
      </c>
      <c r="C629" s="10"/>
      <c r="D629" s="10">
        <v>85880000</v>
      </c>
      <c r="E629" s="11">
        <f>+D629</f>
        <v>85880000</v>
      </c>
      <c r="F629" s="272"/>
      <c r="G629" s="272"/>
      <c r="H629" s="272"/>
      <c r="I629" s="272"/>
      <c r="J629" s="272"/>
      <c r="K629" s="272"/>
      <c r="L629" s="11">
        <f>+D629</f>
        <v>85880000</v>
      </c>
      <c r="M629" s="12"/>
      <c r="N629" s="12"/>
      <c r="P629" s="55"/>
      <c r="Q629" s="55"/>
      <c r="R629" s="14"/>
      <c r="S629" s="14"/>
    </row>
    <row r="630" spans="2:19" ht="12.95" hidden="1" customHeight="1" x14ac:dyDescent="0.25">
      <c r="B630" s="16">
        <v>42797</v>
      </c>
      <c r="C630" s="50" t="s">
        <v>609</v>
      </c>
      <c r="D630" s="34"/>
      <c r="E630" s="37">
        <v>7600000</v>
      </c>
      <c r="F630" s="37"/>
      <c r="G630" s="37">
        <f t="shared" ref="G630:G642" si="100">+E630</f>
        <v>7600000</v>
      </c>
      <c r="H630" s="64">
        <v>0</v>
      </c>
      <c r="I630" s="64">
        <v>416912</v>
      </c>
      <c r="J630" s="64">
        <v>73416</v>
      </c>
      <c r="K630" s="18">
        <f t="shared" ref="K630:K642" si="101">+G630-I630-J630</f>
        <v>7109672</v>
      </c>
      <c r="L630" s="19">
        <f t="shared" ref="L630:L642" si="102">+L629-G630</f>
        <v>78280000</v>
      </c>
      <c r="M630" s="20"/>
      <c r="N630" s="20"/>
      <c r="P630" s="55"/>
      <c r="Q630" s="55"/>
      <c r="R630" s="14"/>
      <c r="S630" s="14"/>
    </row>
    <row r="631" spans="2:19" ht="12.95" hidden="1" customHeight="1" x14ac:dyDescent="0.25">
      <c r="B631" s="16">
        <v>42835</v>
      </c>
      <c r="C631" s="50" t="s">
        <v>610</v>
      </c>
      <c r="D631" s="34"/>
      <c r="E631" s="37">
        <v>7600000</v>
      </c>
      <c r="F631" s="37"/>
      <c r="G631" s="37">
        <f t="shared" si="100"/>
        <v>7600000</v>
      </c>
      <c r="H631" s="64">
        <v>0</v>
      </c>
      <c r="I631" s="64">
        <v>327006.53999999998</v>
      </c>
      <c r="J631" s="64">
        <v>73416</v>
      </c>
      <c r="K631" s="18">
        <f t="shared" si="101"/>
        <v>7199577.46</v>
      </c>
      <c r="L631" s="19">
        <f t="shared" si="102"/>
        <v>70680000</v>
      </c>
      <c r="M631" s="20"/>
      <c r="N631" s="20"/>
      <c r="P631" s="55"/>
      <c r="Q631" s="55"/>
      <c r="R631" s="14"/>
      <c r="S631" s="14"/>
    </row>
    <row r="632" spans="2:19" ht="12.95" hidden="1" customHeight="1" x14ac:dyDescent="0.25">
      <c r="B632" s="16">
        <v>42863</v>
      </c>
      <c r="C632" s="50" t="s">
        <v>611</v>
      </c>
      <c r="D632" s="34"/>
      <c r="E632" s="37">
        <v>7600000</v>
      </c>
      <c r="F632" s="37"/>
      <c r="G632" s="37">
        <f t="shared" si="100"/>
        <v>7600000</v>
      </c>
      <c r="H632" s="64">
        <v>0</v>
      </c>
      <c r="I632" s="64">
        <v>402614.51</v>
      </c>
      <c r="J632" s="64">
        <v>73416</v>
      </c>
      <c r="K632" s="18">
        <f t="shared" si="101"/>
        <v>7123969.4900000002</v>
      </c>
      <c r="L632" s="19">
        <f t="shared" si="102"/>
        <v>63080000</v>
      </c>
      <c r="M632" s="20"/>
      <c r="N632" s="20"/>
      <c r="P632" s="55"/>
      <c r="Q632" s="55"/>
      <c r="R632" s="14"/>
      <c r="S632" s="14"/>
    </row>
    <row r="633" spans="2:19" ht="12.95" hidden="1" customHeight="1" x14ac:dyDescent="0.25">
      <c r="B633" s="16">
        <v>42909</v>
      </c>
      <c r="C633" s="50" t="s">
        <v>612</v>
      </c>
      <c r="D633" s="34"/>
      <c r="E633" s="37">
        <v>7600000</v>
      </c>
      <c r="F633" s="37"/>
      <c r="G633" s="37">
        <f t="shared" si="100"/>
        <v>7600000</v>
      </c>
      <c r="H633" s="64">
        <v>0</v>
      </c>
      <c r="I633" s="64">
        <v>416912</v>
      </c>
      <c r="J633" s="64">
        <v>73416</v>
      </c>
      <c r="K633" s="18">
        <f t="shared" si="101"/>
        <v>7109672</v>
      </c>
      <c r="L633" s="19">
        <f t="shared" si="102"/>
        <v>55480000</v>
      </c>
      <c r="M633" s="20"/>
      <c r="N633" s="20"/>
      <c r="P633" s="55"/>
      <c r="Q633" s="55"/>
      <c r="R633" s="14"/>
      <c r="S633" s="14"/>
    </row>
    <row r="634" spans="2:19" ht="12.95" hidden="1" customHeight="1" x14ac:dyDescent="0.25">
      <c r="B634" s="16">
        <v>42921</v>
      </c>
      <c r="C634" s="50" t="s">
        <v>613</v>
      </c>
      <c r="D634" s="34"/>
      <c r="E634" s="37">
        <v>7600000</v>
      </c>
      <c r="F634" s="37"/>
      <c r="G634" s="37">
        <f t="shared" si="100"/>
        <v>7600000</v>
      </c>
      <c r="H634" s="64">
        <v>0</v>
      </c>
      <c r="I634" s="64">
        <v>416912</v>
      </c>
      <c r="J634" s="64">
        <v>73416</v>
      </c>
      <c r="K634" s="18">
        <f t="shared" si="101"/>
        <v>7109672</v>
      </c>
      <c r="L634" s="19">
        <f t="shared" si="102"/>
        <v>47880000</v>
      </c>
      <c r="M634" s="20"/>
      <c r="N634" s="20"/>
      <c r="P634" s="55"/>
      <c r="Q634" s="55"/>
      <c r="R634" s="14"/>
      <c r="S634" s="14"/>
    </row>
    <row r="635" spans="2:19" ht="12.95" hidden="1" customHeight="1" x14ac:dyDescent="0.25">
      <c r="B635" s="16">
        <v>42956</v>
      </c>
      <c r="C635" s="50" t="s">
        <v>614</v>
      </c>
      <c r="D635" s="34"/>
      <c r="E635" s="37">
        <v>7600000</v>
      </c>
      <c r="F635" s="37"/>
      <c r="G635" s="37">
        <f t="shared" si="100"/>
        <v>7600000</v>
      </c>
      <c r="H635" s="64">
        <v>0</v>
      </c>
      <c r="I635" s="64">
        <v>416912</v>
      </c>
      <c r="J635" s="64">
        <v>73416</v>
      </c>
      <c r="K635" s="18">
        <f t="shared" si="101"/>
        <v>7109672</v>
      </c>
      <c r="L635" s="19">
        <f t="shared" si="102"/>
        <v>40280000</v>
      </c>
      <c r="M635" s="20"/>
      <c r="N635" s="20"/>
      <c r="P635" s="55"/>
      <c r="Q635" s="55"/>
      <c r="R635" s="14"/>
      <c r="S635" s="14"/>
    </row>
    <row r="636" spans="2:19" ht="12.95" hidden="1" customHeight="1" x14ac:dyDescent="0.25">
      <c r="B636" s="16">
        <v>42993</v>
      </c>
      <c r="C636" s="50" t="s">
        <v>615</v>
      </c>
      <c r="D636" s="34"/>
      <c r="E636" s="37">
        <v>7600000</v>
      </c>
      <c r="F636" s="37"/>
      <c r="G636" s="37">
        <f t="shared" si="100"/>
        <v>7600000</v>
      </c>
      <c r="H636" s="64">
        <v>0</v>
      </c>
      <c r="I636" s="64">
        <v>416912</v>
      </c>
      <c r="J636" s="64">
        <v>73416</v>
      </c>
      <c r="K636" s="18">
        <f t="shared" si="101"/>
        <v>7109672</v>
      </c>
      <c r="L636" s="19">
        <f t="shared" si="102"/>
        <v>32680000</v>
      </c>
      <c r="M636" s="20"/>
      <c r="N636" s="20"/>
      <c r="P636" s="55"/>
      <c r="Q636" s="55"/>
      <c r="R636" s="14"/>
      <c r="S636" s="14"/>
    </row>
    <row r="637" spans="2:19" ht="12.95" hidden="1" customHeight="1" x14ac:dyDescent="0.25">
      <c r="B637" s="16">
        <v>43017</v>
      </c>
      <c r="C637" s="50" t="s">
        <v>616</v>
      </c>
      <c r="D637" s="34"/>
      <c r="E637" s="37">
        <v>7600000</v>
      </c>
      <c r="F637" s="37"/>
      <c r="G637" s="37">
        <f t="shared" si="100"/>
        <v>7600000</v>
      </c>
      <c r="H637" s="64">
        <v>0</v>
      </c>
      <c r="I637" s="64">
        <v>416912</v>
      </c>
      <c r="J637" s="64">
        <v>73416</v>
      </c>
      <c r="K637" s="18">
        <f t="shared" si="101"/>
        <v>7109672</v>
      </c>
      <c r="L637" s="19">
        <f t="shared" si="102"/>
        <v>25080000</v>
      </c>
      <c r="M637" s="20"/>
      <c r="N637" s="20"/>
      <c r="P637" s="55"/>
      <c r="Q637" s="55"/>
      <c r="R637" s="14"/>
      <c r="S637" s="14"/>
    </row>
    <row r="638" spans="2:19" ht="12.95" hidden="1" customHeight="1" x14ac:dyDescent="0.25">
      <c r="B638" s="16">
        <v>43055</v>
      </c>
      <c r="C638" s="50" t="s">
        <v>617</v>
      </c>
      <c r="D638" s="34"/>
      <c r="E638" s="37">
        <v>7600000</v>
      </c>
      <c r="F638" s="37"/>
      <c r="G638" s="37">
        <f t="shared" si="100"/>
        <v>7600000</v>
      </c>
      <c r="H638" s="64">
        <v>0</v>
      </c>
      <c r="I638" s="64">
        <v>416912</v>
      </c>
      <c r="J638" s="64">
        <v>73416</v>
      </c>
      <c r="K638" s="18">
        <f t="shared" si="101"/>
        <v>7109672</v>
      </c>
      <c r="L638" s="19">
        <f t="shared" si="102"/>
        <v>17480000</v>
      </c>
      <c r="M638" s="20"/>
      <c r="N638" s="20"/>
      <c r="P638" s="55"/>
      <c r="Q638" s="55"/>
      <c r="R638" s="14"/>
      <c r="S638" s="14"/>
    </row>
    <row r="639" spans="2:19" ht="12.95" hidden="1" customHeight="1" x14ac:dyDescent="0.25">
      <c r="B639" s="16">
        <v>43081.125</v>
      </c>
      <c r="C639" s="50" t="s">
        <v>618</v>
      </c>
      <c r="D639" s="34"/>
      <c r="E639" s="37">
        <v>7600000</v>
      </c>
      <c r="F639" s="37"/>
      <c r="G639" s="37">
        <f t="shared" si="100"/>
        <v>7600000</v>
      </c>
      <c r="H639" s="64"/>
      <c r="I639" s="64">
        <v>416912</v>
      </c>
      <c r="J639" s="64">
        <v>73416</v>
      </c>
      <c r="K639" s="18">
        <f t="shared" si="101"/>
        <v>7109672</v>
      </c>
      <c r="L639" s="19">
        <f t="shared" si="102"/>
        <v>9880000</v>
      </c>
      <c r="M639" s="20"/>
      <c r="N639" s="20"/>
      <c r="P639" s="55"/>
      <c r="Q639" s="55"/>
      <c r="R639" s="14"/>
      <c r="S639" s="14"/>
    </row>
    <row r="640" spans="2:19" ht="12.95" hidden="1" customHeight="1" x14ac:dyDescent="0.25">
      <c r="B640" s="16">
        <v>43110.125</v>
      </c>
      <c r="C640" s="50" t="s">
        <v>619</v>
      </c>
      <c r="D640" s="34"/>
      <c r="E640" s="37">
        <v>7600000</v>
      </c>
      <c r="F640" s="37"/>
      <c r="G640" s="37">
        <f t="shared" si="100"/>
        <v>7600000</v>
      </c>
      <c r="H640" s="64">
        <v>0</v>
      </c>
      <c r="I640" s="64">
        <v>375408.01</v>
      </c>
      <c r="J640" s="64">
        <v>73416</v>
      </c>
      <c r="K640" s="18">
        <f t="shared" si="101"/>
        <v>7151175.9900000002</v>
      </c>
      <c r="L640" s="19">
        <f t="shared" si="102"/>
        <v>2280000</v>
      </c>
      <c r="M640" s="20"/>
      <c r="N640" s="20"/>
      <c r="P640" s="55"/>
      <c r="Q640" s="55"/>
      <c r="R640" s="14"/>
      <c r="S640" s="14"/>
    </row>
    <row r="641" spans="2:19" ht="12.95" hidden="1" customHeight="1" x14ac:dyDescent="0.25">
      <c r="B641" s="16">
        <v>43110.125</v>
      </c>
      <c r="C641" s="50" t="s">
        <v>620</v>
      </c>
      <c r="D641" s="34"/>
      <c r="E641" s="37">
        <v>2026667</v>
      </c>
      <c r="F641" s="37"/>
      <c r="G641" s="37">
        <f t="shared" si="100"/>
        <v>2026667</v>
      </c>
      <c r="H641" s="64">
        <v>0</v>
      </c>
      <c r="I641" s="64">
        <v>383040.06</v>
      </c>
      <c r="J641" s="64">
        <v>19577.599999999999</v>
      </c>
      <c r="K641" s="18">
        <f t="shared" si="101"/>
        <v>1624049.3399999999</v>
      </c>
      <c r="L641" s="19">
        <f t="shared" si="102"/>
        <v>253333</v>
      </c>
      <c r="M641" s="20"/>
      <c r="N641" s="20"/>
      <c r="P641" s="55"/>
      <c r="Q641" s="55"/>
      <c r="R641" s="14"/>
      <c r="S641" s="14"/>
    </row>
    <row r="642" spans="2:19" ht="12.95" hidden="1" customHeight="1" x14ac:dyDescent="0.25">
      <c r="B642" s="16">
        <v>43110.125</v>
      </c>
      <c r="C642" s="50" t="s">
        <v>24</v>
      </c>
      <c r="D642" s="34"/>
      <c r="E642" s="37">
        <v>253333</v>
      </c>
      <c r="F642" s="37"/>
      <c r="G642" s="37">
        <f t="shared" si="100"/>
        <v>253333</v>
      </c>
      <c r="H642" s="64">
        <v>0</v>
      </c>
      <c r="I642" s="64">
        <v>0</v>
      </c>
      <c r="J642" s="64">
        <v>0</v>
      </c>
      <c r="K642" s="18">
        <f t="shared" si="101"/>
        <v>253333</v>
      </c>
      <c r="L642" s="19">
        <f t="shared" si="102"/>
        <v>0</v>
      </c>
      <c r="M642" s="20"/>
      <c r="N642" s="20"/>
      <c r="P642" s="55"/>
      <c r="Q642" s="55"/>
      <c r="R642" s="14"/>
      <c r="S642" s="14"/>
    </row>
    <row r="643" spans="2:19" ht="12.95" hidden="1" customHeight="1" x14ac:dyDescent="0.25">
      <c r="B643" s="9" t="s">
        <v>621</v>
      </c>
      <c r="C643" s="10"/>
      <c r="D643" s="10">
        <v>67800000</v>
      </c>
      <c r="E643" s="11">
        <f>+D643</f>
        <v>67800000</v>
      </c>
      <c r="F643" s="272"/>
      <c r="G643" s="272"/>
      <c r="H643" s="272"/>
      <c r="I643" s="272"/>
      <c r="J643" s="272"/>
      <c r="K643" s="272"/>
      <c r="L643" s="11">
        <f>+D643</f>
        <v>67800000</v>
      </c>
      <c r="M643" s="12"/>
      <c r="N643" s="12"/>
      <c r="P643" s="55"/>
      <c r="Q643" s="55"/>
      <c r="R643" s="14"/>
      <c r="S643" s="14"/>
    </row>
    <row r="644" spans="2:19" ht="12.95" hidden="1" customHeight="1" x14ac:dyDescent="0.25">
      <c r="B644" s="16">
        <v>42797</v>
      </c>
      <c r="C644" s="50" t="s">
        <v>622</v>
      </c>
      <c r="D644" s="34"/>
      <c r="E644" s="37">
        <v>6000000</v>
      </c>
      <c r="F644" s="37"/>
      <c r="G644" s="37">
        <f t="shared" ref="G644:G656" si="103">+E644</f>
        <v>6000000</v>
      </c>
      <c r="H644" s="64">
        <v>0</v>
      </c>
      <c r="I644" s="64">
        <v>279945.03000000003</v>
      </c>
      <c r="J644" s="64">
        <v>57960</v>
      </c>
      <c r="K644" s="18">
        <f t="shared" ref="K644:K656" si="104">+G644-I644-J644</f>
        <v>5662094.9699999997</v>
      </c>
      <c r="L644" s="19">
        <f t="shared" ref="L644:L656" si="105">+L643-G644</f>
        <v>61800000</v>
      </c>
      <c r="M644" s="20"/>
      <c r="N644" s="20"/>
      <c r="P644" s="55"/>
      <c r="Q644" s="55"/>
      <c r="R644" s="14"/>
      <c r="S644" s="14"/>
    </row>
    <row r="645" spans="2:19" ht="12.95" hidden="1" customHeight="1" x14ac:dyDescent="0.25">
      <c r="B645" s="16">
        <v>42835</v>
      </c>
      <c r="C645" s="50" t="s">
        <v>623</v>
      </c>
      <c r="D645" s="34"/>
      <c r="E645" s="37">
        <v>6000000</v>
      </c>
      <c r="F645" s="37"/>
      <c r="G645" s="37">
        <f t="shared" si="103"/>
        <v>6000000</v>
      </c>
      <c r="H645" s="64">
        <v>0</v>
      </c>
      <c r="I645" s="64">
        <v>279945.03000000003</v>
      </c>
      <c r="J645" s="64">
        <v>57960</v>
      </c>
      <c r="K645" s="18">
        <f t="shared" si="104"/>
        <v>5662094.9699999997</v>
      </c>
      <c r="L645" s="19">
        <f t="shared" si="105"/>
        <v>55800000</v>
      </c>
      <c r="M645" s="20"/>
      <c r="N645" s="20"/>
      <c r="P645" s="55"/>
      <c r="Q645" s="55"/>
      <c r="R645" s="14"/>
      <c r="S645" s="14"/>
    </row>
    <row r="646" spans="2:19" ht="12.95" hidden="1" customHeight="1" x14ac:dyDescent="0.25">
      <c r="B646" s="16">
        <v>42863</v>
      </c>
      <c r="C646" s="50" t="s">
        <v>624</v>
      </c>
      <c r="D646" s="34"/>
      <c r="E646" s="37">
        <v>6000000</v>
      </c>
      <c r="F646" s="37"/>
      <c r="G646" s="37">
        <f t="shared" si="103"/>
        <v>6000000</v>
      </c>
      <c r="H646" s="64">
        <v>0</v>
      </c>
      <c r="I646" s="64">
        <v>279945.03000000003</v>
      </c>
      <c r="J646" s="64">
        <v>57960</v>
      </c>
      <c r="K646" s="18">
        <f t="shared" si="104"/>
        <v>5662094.9699999997</v>
      </c>
      <c r="L646" s="19">
        <f t="shared" si="105"/>
        <v>49800000</v>
      </c>
      <c r="M646" s="20"/>
      <c r="N646" s="20"/>
      <c r="P646" s="55"/>
      <c r="Q646" s="55"/>
      <c r="R646" s="14"/>
      <c r="S646" s="14"/>
    </row>
    <row r="647" spans="2:19" ht="12.95" hidden="1" customHeight="1" x14ac:dyDescent="0.25">
      <c r="B647" s="16">
        <v>42909</v>
      </c>
      <c r="C647" s="50" t="s">
        <v>625</v>
      </c>
      <c r="D647" s="34"/>
      <c r="E647" s="37">
        <v>6000000</v>
      </c>
      <c r="F647" s="37"/>
      <c r="G647" s="37">
        <f t="shared" si="103"/>
        <v>6000000</v>
      </c>
      <c r="H647" s="64">
        <v>0</v>
      </c>
      <c r="I647" s="64">
        <v>279945.03000000003</v>
      </c>
      <c r="J647" s="64">
        <v>57960</v>
      </c>
      <c r="K647" s="18">
        <f t="shared" si="104"/>
        <v>5662094.9699999997</v>
      </c>
      <c r="L647" s="19">
        <f t="shared" si="105"/>
        <v>43800000</v>
      </c>
      <c r="M647" s="20"/>
      <c r="N647" s="20"/>
      <c r="P647" s="55"/>
      <c r="Q647" s="55"/>
      <c r="R647" s="14"/>
      <c r="S647" s="14"/>
    </row>
    <row r="648" spans="2:19" ht="12.95" hidden="1" customHeight="1" x14ac:dyDescent="0.25">
      <c r="B648" s="16">
        <v>42944</v>
      </c>
      <c r="C648" s="50" t="s">
        <v>626</v>
      </c>
      <c r="D648" s="34"/>
      <c r="E648" s="37">
        <v>6000000</v>
      </c>
      <c r="F648" s="37"/>
      <c r="G648" s="37">
        <f t="shared" si="103"/>
        <v>6000000</v>
      </c>
      <c r="H648" s="64">
        <v>0</v>
      </c>
      <c r="I648" s="64">
        <v>279945.03000000003</v>
      </c>
      <c r="J648" s="64">
        <v>57960</v>
      </c>
      <c r="K648" s="18">
        <f t="shared" si="104"/>
        <v>5662094.9699999997</v>
      </c>
      <c r="L648" s="19">
        <f t="shared" si="105"/>
        <v>37800000</v>
      </c>
      <c r="M648" s="20"/>
      <c r="N648" s="20"/>
      <c r="P648" s="55"/>
      <c r="Q648" s="55"/>
      <c r="R648" s="14"/>
      <c r="S648" s="14"/>
    </row>
    <row r="649" spans="2:19" ht="12.95" hidden="1" customHeight="1" x14ac:dyDescent="0.25">
      <c r="B649" s="16">
        <v>42957</v>
      </c>
      <c r="C649" s="50" t="s">
        <v>627</v>
      </c>
      <c r="D649" s="34"/>
      <c r="E649" s="37">
        <v>6000000</v>
      </c>
      <c r="F649" s="37"/>
      <c r="G649" s="37">
        <f t="shared" si="103"/>
        <v>6000000</v>
      </c>
      <c r="H649" s="64">
        <v>0</v>
      </c>
      <c r="I649" s="64">
        <v>279945.03000000003</v>
      </c>
      <c r="J649" s="64">
        <v>57960</v>
      </c>
      <c r="K649" s="18">
        <f t="shared" si="104"/>
        <v>5662094.9699999997</v>
      </c>
      <c r="L649" s="19">
        <f t="shared" si="105"/>
        <v>31800000</v>
      </c>
      <c r="M649" s="20"/>
      <c r="N649" s="20"/>
      <c r="P649" s="55"/>
      <c r="Q649" s="55"/>
      <c r="R649" s="14"/>
      <c r="S649" s="14"/>
    </row>
    <row r="650" spans="2:19" ht="12.95" hidden="1" customHeight="1" x14ac:dyDescent="0.25">
      <c r="B650" s="16">
        <v>42993</v>
      </c>
      <c r="C650" s="50" t="s">
        <v>628</v>
      </c>
      <c r="D650" s="34"/>
      <c r="E650" s="37">
        <v>6000000</v>
      </c>
      <c r="F650" s="37"/>
      <c r="G650" s="37">
        <f t="shared" si="103"/>
        <v>6000000</v>
      </c>
      <c r="H650" s="64">
        <v>0</v>
      </c>
      <c r="I650" s="64">
        <v>279945.03000000003</v>
      </c>
      <c r="J650" s="64">
        <v>57960</v>
      </c>
      <c r="K650" s="18">
        <f t="shared" si="104"/>
        <v>5662094.9699999997</v>
      </c>
      <c r="L650" s="19">
        <f t="shared" si="105"/>
        <v>25800000</v>
      </c>
      <c r="M650" s="20"/>
      <c r="N650" s="20"/>
      <c r="P650" s="55"/>
      <c r="Q650" s="55"/>
      <c r="R650" s="14"/>
      <c r="S650" s="14"/>
    </row>
    <row r="651" spans="2:19" ht="12.95" hidden="1" customHeight="1" x14ac:dyDescent="0.25">
      <c r="B651" s="16">
        <v>43027</v>
      </c>
      <c r="C651" s="50" t="s">
        <v>629</v>
      </c>
      <c r="D651" s="34"/>
      <c r="E651" s="37">
        <v>6000000</v>
      </c>
      <c r="F651" s="37"/>
      <c r="G651" s="37">
        <f t="shared" si="103"/>
        <v>6000000</v>
      </c>
      <c r="H651" s="64">
        <v>0</v>
      </c>
      <c r="I651" s="64">
        <v>279945.03000000003</v>
      </c>
      <c r="J651" s="64">
        <v>57960</v>
      </c>
      <c r="K651" s="18">
        <f t="shared" si="104"/>
        <v>5662094.9699999997</v>
      </c>
      <c r="L651" s="19">
        <f t="shared" si="105"/>
        <v>19800000</v>
      </c>
      <c r="M651" s="20"/>
      <c r="N651" s="20"/>
      <c r="P651" s="55"/>
      <c r="Q651" s="55"/>
      <c r="R651" s="14"/>
      <c r="S651" s="14"/>
    </row>
    <row r="652" spans="2:19" ht="12.95" hidden="1" customHeight="1" x14ac:dyDescent="0.25">
      <c r="B652" s="16">
        <v>43042</v>
      </c>
      <c r="C652" s="50" t="s">
        <v>630</v>
      </c>
      <c r="D652" s="34"/>
      <c r="E652" s="37">
        <v>6000000</v>
      </c>
      <c r="F652" s="37"/>
      <c r="G652" s="37">
        <f t="shared" si="103"/>
        <v>6000000</v>
      </c>
      <c r="H652" s="64">
        <v>0</v>
      </c>
      <c r="I652" s="64">
        <v>279945.03000000003</v>
      </c>
      <c r="J652" s="64">
        <v>57960</v>
      </c>
      <c r="K652" s="18">
        <f t="shared" si="104"/>
        <v>5662094.9699999997</v>
      </c>
      <c r="L652" s="19">
        <f t="shared" si="105"/>
        <v>13800000</v>
      </c>
      <c r="M652" s="20"/>
      <c r="N652" s="20"/>
      <c r="P652" s="55"/>
      <c r="Q652" s="55"/>
      <c r="R652" s="14"/>
      <c r="S652" s="14"/>
    </row>
    <row r="653" spans="2:19" ht="12.95" hidden="1" customHeight="1" x14ac:dyDescent="0.25">
      <c r="B653" s="16">
        <v>43095.125</v>
      </c>
      <c r="C653" s="50" t="s">
        <v>631</v>
      </c>
      <c r="D653" s="34"/>
      <c r="E653" s="37">
        <v>6000000</v>
      </c>
      <c r="F653" s="37"/>
      <c r="G653" s="37">
        <f t="shared" si="103"/>
        <v>6000000</v>
      </c>
      <c r="H653" s="64"/>
      <c r="I653" s="64">
        <v>279945.03000000003</v>
      </c>
      <c r="J653" s="64">
        <v>57960</v>
      </c>
      <c r="K653" s="18">
        <f t="shared" si="104"/>
        <v>5662094.9699999997</v>
      </c>
      <c r="L653" s="19">
        <f t="shared" si="105"/>
        <v>7800000</v>
      </c>
      <c r="M653" s="20"/>
      <c r="N653" s="20"/>
      <c r="P653" s="55"/>
      <c r="Q653" s="55"/>
      <c r="R653" s="14"/>
      <c r="S653" s="14"/>
    </row>
    <row r="654" spans="2:19" ht="12.95" hidden="1" customHeight="1" x14ac:dyDescent="0.25">
      <c r="B654" s="16">
        <v>43110.125</v>
      </c>
      <c r="C654" s="50" t="s">
        <v>632</v>
      </c>
      <c r="D654" s="34"/>
      <c r="E654" s="37">
        <v>6000000</v>
      </c>
      <c r="F654" s="37"/>
      <c r="G654" s="37">
        <f t="shared" si="103"/>
        <v>6000000</v>
      </c>
      <c r="H654" s="64">
        <v>0</v>
      </c>
      <c r="I654" s="64">
        <v>256534.21</v>
      </c>
      <c r="J654" s="64">
        <v>57960</v>
      </c>
      <c r="K654" s="18">
        <f t="shared" si="104"/>
        <v>5685505.79</v>
      </c>
      <c r="L654" s="19">
        <f t="shared" si="105"/>
        <v>1800000</v>
      </c>
      <c r="M654" s="20"/>
      <c r="N654" s="20"/>
      <c r="P654" s="55"/>
      <c r="Q654" s="55"/>
      <c r="R654" s="14"/>
      <c r="S654" s="14"/>
    </row>
    <row r="655" spans="2:19" ht="12.95" hidden="1" customHeight="1" x14ac:dyDescent="0.25">
      <c r="B655" s="16">
        <v>43136.125</v>
      </c>
      <c r="C655" s="50" t="s">
        <v>633</v>
      </c>
      <c r="D655" s="34"/>
      <c r="E655" s="37">
        <v>1600000</v>
      </c>
      <c r="F655" s="37"/>
      <c r="G655" s="37">
        <f t="shared" si="103"/>
        <v>1600000</v>
      </c>
      <c r="H655" s="64">
        <v>0</v>
      </c>
      <c r="I655" s="64">
        <v>0</v>
      </c>
      <c r="J655" s="64">
        <v>0</v>
      </c>
      <c r="K655" s="18">
        <f t="shared" si="104"/>
        <v>1600000</v>
      </c>
      <c r="L655" s="19">
        <f t="shared" si="105"/>
        <v>200000</v>
      </c>
      <c r="M655" s="20"/>
      <c r="N655" s="20"/>
      <c r="P655" s="55"/>
      <c r="Q655" s="55"/>
      <c r="R655" s="14"/>
      <c r="S655" s="14"/>
    </row>
    <row r="656" spans="2:19" ht="12.95" hidden="1" customHeight="1" x14ac:dyDescent="0.25">
      <c r="B656" s="16">
        <v>43136.125</v>
      </c>
      <c r="C656" s="50" t="s">
        <v>24</v>
      </c>
      <c r="D656" s="34"/>
      <c r="E656" s="37">
        <v>200000</v>
      </c>
      <c r="F656" s="37"/>
      <c r="G656" s="37">
        <f t="shared" si="103"/>
        <v>200000</v>
      </c>
      <c r="H656" s="64">
        <v>0</v>
      </c>
      <c r="I656" s="64">
        <v>0</v>
      </c>
      <c r="J656" s="64">
        <v>0</v>
      </c>
      <c r="K656" s="18">
        <f t="shared" si="104"/>
        <v>200000</v>
      </c>
      <c r="L656" s="19">
        <f t="shared" si="105"/>
        <v>0</v>
      </c>
      <c r="M656" s="20"/>
      <c r="N656" s="20"/>
      <c r="P656" s="55"/>
      <c r="Q656" s="55"/>
      <c r="R656" s="14"/>
      <c r="S656" s="14"/>
    </row>
    <row r="657" spans="2:19" ht="12.95" hidden="1" customHeight="1" x14ac:dyDescent="0.25">
      <c r="B657" s="9" t="s">
        <v>634</v>
      </c>
      <c r="C657" s="10"/>
      <c r="D657" s="10">
        <v>55000000</v>
      </c>
      <c r="E657" s="11">
        <f>+D657</f>
        <v>55000000</v>
      </c>
      <c r="F657" s="272"/>
      <c r="G657" s="272"/>
      <c r="H657" s="272"/>
      <c r="I657" s="272"/>
      <c r="J657" s="272"/>
      <c r="K657" s="272"/>
      <c r="L657" s="11">
        <f>+D657</f>
        <v>55000000</v>
      </c>
      <c r="M657" s="12"/>
      <c r="N657" s="12"/>
      <c r="P657" s="55"/>
      <c r="Q657" s="55"/>
      <c r="R657" s="14"/>
      <c r="S657" s="14"/>
    </row>
    <row r="658" spans="2:19" ht="12.95" hidden="1" customHeight="1" x14ac:dyDescent="0.25">
      <c r="B658" s="16">
        <v>42815</v>
      </c>
      <c r="C658" s="50" t="s">
        <v>635</v>
      </c>
      <c r="D658" s="34"/>
      <c r="E658" s="37">
        <v>5000000</v>
      </c>
      <c r="F658" s="37"/>
      <c r="G658" s="37">
        <f>+E658</f>
        <v>5000000</v>
      </c>
      <c r="H658" s="64">
        <v>0</v>
      </c>
      <c r="I658" s="64">
        <v>137445.04999999999</v>
      </c>
      <c r="J658" s="64">
        <v>48300</v>
      </c>
      <c r="K658" s="18">
        <f>+G658-I658-J658</f>
        <v>4814254.95</v>
      </c>
      <c r="L658" s="19">
        <f>+L657-G658</f>
        <v>50000000</v>
      </c>
      <c r="M658" s="20"/>
      <c r="N658" s="20"/>
      <c r="P658" s="55"/>
      <c r="Q658" s="55"/>
      <c r="R658" s="14"/>
      <c r="S658" s="14"/>
    </row>
    <row r="659" spans="2:19" ht="12.95" hidden="1" customHeight="1" x14ac:dyDescent="0.25">
      <c r="B659" s="16">
        <v>42858</v>
      </c>
      <c r="C659" s="50" t="s">
        <v>636</v>
      </c>
      <c r="D659" s="34"/>
      <c r="E659" s="37">
        <v>5000000</v>
      </c>
      <c r="F659" s="37"/>
      <c r="G659" s="37">
        <f>+E659</f>
        <v>5000000</v>
      </c>
      <c r="H659" s="64"/>
      <c r="I659" s="64">
        <v>137445.04999999999</v>
      </c>
      <c r="J659" s="64">
        <v>48300</v>
      </c>
      <c r="K659" s="18">
        <f>+G659-I659-J659</f>
        <v>4814254.95</v>
      </c>
      <c r="L659" s="19">
        <f>+L658-G659</f>
        <v>45000000</v>
      </c>
      <c r="M659" s="20"/>
      <c r="N659" s="20"/>
      <c r="P659" s="55"/>
      <c r="Q659" s="55"/>
      <c r="R659" s="14"/>
      <c r="S659" s="14"/>
    </row>
    <row r="660" spans="2:19" ht="12.95" hidden="1" customHeight="1" x14ac:dyDescent="0.25">
      <c r="B660" s="16">
        <v>42944</v>
      </c>
      <c r="C660" s="50" t="s">
        <v>637</v>
      </c>
      <c r="D660" s="34"/>
      <c r="E660" s="37">
        <v>5000000</v>
      </c>
      <c r="F660" s="37"/>
      <c r="G660" s="37">
        <f>+E660</f>
        <v>5000000</v>
      </c>
      <c r="H660" s="64"/>
      <c r="I660" s="64">
        <v>137445.04999999999</v>
      </c>
      <c r="J660" s="64">
        <v>48300</v>
      </c>
      <c r="K660" s="18">
        <f>+G660-I660-J660</f>
        <v>4814254.95</v>
      </c>
      <c r="L660" s="19">
        <f>+L659-G660</f>
        <v>40000000</v>
      </c>
      <c r="M660" s="20"/>
      <c r="N660" s="20"/>
      <c r="P660" s="55"/>
      <c r="Q660" s="55"/>
      <c r="R660" s="14"/>
      <c r="S660" s="14"/>
    </row>
    <row r="661" spans="2:19" ht="12.95" hidden="1" customHeight="1" x14ac:dyDescent="0.25">
      <c r="B661" s="9" t="s">
        <v>638</v>
      </c>
      <c r="C661" s="10"/>
      <c r="D661" s="10">
        <v>44000000</v>
      </c>
      <c r="E661" s="11">
        <f>+D661</f>
        <v>44000000</v>
      </c>
      <c r="F661" s="272"/>
      <c r="G661" s="272"/>
      <c r="H661" s="272"/>
      <c r="I661" s="272"/>
      <c r="J661" s="272"/>
      <c r="K661" s="272"/>
      <c r="L661" s="11">
        <f>+D661</f>
        <v>44000000</v>
      </c>
      <c r="M661" s="12"/>
      <c r="N661" s="12"/>
      <c r="P661" s="55"/>
      <c r="Q661" s="55"/>
      <c r="R661" s="14"/>
      <c r="S661" s="14"/>
    </row>
    <row r="662" spans="2:19" ht="12.95" hidden="1" customHeight="1" x14ac:dyDescent="0.25">
      <c r="B662" s="16">
        <v>42815</v>
      </c>
      <c r="C662" s="50" t="s">
        <v>639</v>
      </c>
      <c r="D662" s="34"/>
      <c r="E662" s="37">
        <v>4000000</v>
      </c>
      <c r="F662" s="37"/>
      <c r="G662" s="37">
        <f t="shared" ref="G662:G673" si="106">+E662</f>
        <v>4000000</v>
      </c>
      <c r="H662" s="64">
        <v>0</v>
      </c>
      <c r="I662" s="64">
        <v>0</v>
      </c>
      <c r="J662" s="64">
        <v>38640</v>
      </c>
      <c r="K662" s="18">
        <f t="shared" ref="K662:K673" si="107">+G662-I662-J662</f>
        <v>3961360</v>
      </c>
      <c r="L662" s="19">
        <f t="shared" ref="L662:L673" si="108">+L661-G662</f>
        <v>40000000</v>
      </c>
      <c r="M662" s="20"/>
      <c r="N662" s="20"/>
      <c r="P662" s="55"/>
      <c r="Q662" s="55"/>
      <c r="R662" s="14"/>
      <c r="S662" s="14"/>
    </row>
    <row r="663" spans="2:19" ht="12.95" hidden="1" customHeight="1" x14ac:dyDescent="0.25">
      <c r="B663" s="16">
        <v>42836</v>
      </c>
      <c r="C663" s="50" t="s">
        <v>640</v>
      </c>
      <c r="D663" s="34"/>
      <c r="E663" s="37">
        <v>4000000</v>
      </c>
      <c r="F663" s="37"/>
      <c r="G663" s="37">
        <f t="shared" si="106"/>
        <v>4000000</v>
      </c>
      <c r="H663" s="64">
        <v>0</v>
      </c>
      <c r="I663" s="64">
        <v>0</v>
      </c>
      <c r="J663" s="64">
        <v>38640</v>
      </c>
      <c r="K663" s="18">
        <f t="shared" si="107"/>
        <v>3961360</v>
      </c>
      <c r="L663" s="19">
        <f t="shared" si="108"/>
        <v>36000000</v>
      </c>
      <c r="M663" s="20"/>
      <c r="N663" s="20"/>
      <c r="P663" s="55"/>
      <c r="Q663" s="55"/>
      <c r="R663" s="14"/>
      <c r="S663" s="14"/>
    </row>
    <row r="664" spans="2:19" ht="12.95" hidden="1" customHeight="1" x14ac:dyDescent="0.25">
      <c r="B664" s="16">
        <v>42863</v>
      </c>
      <c r="C664" s="50" t="s">
        <v>641</v>
      </c>
      <c r="D664" s="34"/>
      <c r="E664" s="37">
        <v>4000000</v>
      </c>
      <c r="F664" s="37"/>
      <c r="G664" s="37">
        <f t="shared" si="106"/>
        <v>4000000</v>
      </c>
      <c r="H664" s="64"/>
      <c r="I664" s="64"/>
      <c r="J664" s="64">
        <v>38640</v>
      </c>
      <c r="K664" s="18">
        <f t="shared" si="107"/>
        <v>3961360</v>
      </c>
      <c r="L664" s="19">
        <f t="shared" si="108"/>
        <v>32000000</v>
      </c>
      <c r="M664" s="20"/>
      <c r="N664" s="20"/>
      <c r="P664" s="55"/>
      <c r="Q664" s="55"/>
      <c r="R664" s="14"/>
      <c r="S664" s="14"/>
    </row>
    <row r="665" spans="2:19" ht="12.95" hidden="1" customHeight="1" x14ac:dyDescent="0.25">
      <c r="B665" s="16">
        <v>42915</v>
      </c>
      <c r="C665" s="50" t="s">
        <v>642</v>
      </c>
      <c r="D665" s="34"/>
      <c r="E665" s="37">
        <v>4000000</v>
      </c>
      <c r="F665" s="37"/>
      <c r="G665" s="37">
        <f t="shared" si="106"/>
        <v>4000000</v>
      </c>
      <c r="H665" s="64"/>
      <c r="I665" s="64"/>
      <c r="J665" s="64">
        <v>38640</v>
      </c>
      <c r="K665" s="18">
        <f t="shared" si="107"/>
        <v>3961360</v>
      </c>
      <c r="L665" s="19">
        <f t="shared" si="108"/>
        <v>28000000</v>
      </c>
      <c r="M665" s="20"/>
      <c r="N665" s="20"/>
      <c r="P665" s="55"/>
      <c r="Q665" s="55"/>
      <c r="R665" s="14"/>
      <c r="S665" s="14"/>
    </row>
    <row r="666" spans="2:19" ht="12.95" hidden="1" customHeight="1" x14ac:dyDescent="0.25">
      <c r="B666" s="16">
        <v>42944</v>
      </c>
      <c r="C666" s="50" t="s">
        <v>643</v>
      </c>
      <c r="D666" s="34"/>
      <c r="E666" s="37">
        <v>4000000</v>
      </c>
      <c r="F666" s="37"/>
      <c r="G666" s="37">
        <f t="shared" si="106"/>
        <v>4000000</v>
      </c>
      <c r="H666" s="64"/>
      <c r="I666" s="64"/>
      <c r="J666" s="64">
        <v>38640</v>
      </c>
      <c r="K666" s="18">
        <f t="shared" si="107"/>
        <v>3961360</v>
      </c>
      <c r="L666" s="19">
        <f t="shared" si="108"/>
        <v>24000000</v>
      </c>
      <c r="M666" s="20"/>
      <c r="N666" s="20"/>
      <c r="P666" s="55"/>
      <c r="Q666" s="55"/>
      <c r="R666" s="14"/>
      <c r="S666" s="14"/>
    </row>
    <row r="667" spans="2:19" ht="12.95" hidden="1" customHeight="1" x14ac:dyDescent="0.25">
      <c r="B667" s="16">
        <v>42961</v>
      </c>
      <c r="C667" s="50" t="s">
        <v>644</v>
      </c>
      <c r="D667" s="34"/>
      <c r="E667" s="37">
        <v>4000000</v>
      </c>
      <c r="F667" s="37"/>
      <c r="G667" s="37">
        <f t="shared" si="106"/>
        <v>4000000</v>
      </c>
      <c r="H667" s="64"/>
      <c r="I667" s="64"/>
      <c r="J667" s="64">
        <v>38640</v>
      </c>
      <c r="K667" s="18">
        <f t="shared" si="107"/>
        <v>3961360</v>
      </c>
      <c r="L667" s="19">
        <f t="shared" si="108"/>
        <v>20000000</v>
      </c>
      <c r="M667" s="20"/>
      <c r="N667" s="20"/>
      <c r="P667" s="55"/>
      <c r="Q667" s="55"/>
      <c r="R667" s="14"/>
      <c r="S667" s="14"/>
    </row>
    <row r="668" spans="2:19" ht="12.95" hidden="1" customHeight="1" x14ac:dyDescent="0.25">
      <c r="B668" s="16">
        <v>43010</v>
      </c>
      <c r="C668" s="50" t="s">
        <v>645</v>
      </c>
      <c r="D668" s="34"/>
      <c r="E668" s="37">
        <v>4000000</v>
      </c>
      <c r="F668" s="37"/>
      <c r="G668" s="37">
        <f t="shared" si="106"/>
        <v>4000000</v>
      </c>
      <c r="H668" s="64">
        <v>0</v>
      </c>
      <c r="I668" s="64">
        <v>0</v>
      </c>
      <c r="J668" s="64">
        <v>38640</v>
      </c>
      <c r="K668" s="18">
        <f t="shared" si="107"/>
        <v>3961360</v>
      </c>
      <c r="L668" s="19">
        <f t="shared" si="108"/>
        <v>16000000</v>
      </c>
      <c r="M668" s="20"/>
      <c r="N668" s="20"/>
      <c r="P668" s="55"/>
      <c r="Q668" s="55"/>
      <c r="R668" s="14"/>
      <c r="S668" s="14"/>
    </row>
    <row r="669" spans="2:19" ht="12.95" hidden="1" customHeight="1" x14ac:dyDescent="0.25">
      <c r="B669" s="16">
        <v>43042</v>
      </c>
      <c r="C669" s="50" t="s">
        <v>646</v>
      </c>
      <c r="D669" s="34"/>
      <c r="E669" s="37">
        <v>4000000</v>
      </c>
      <c r="F669" s="37"/>
      <c r="G669" s="37">
        <f t="shared" si="106"/>
        <v>4000000</v>
      </c>
      <c r="H669" s="64">
        <v>0</v>
      </c>
      <c r="I669" s="64">
        <v>0</v>
      </c>
      <c r="J669" s="64">
        <v>38640</v>
      </c>
      <c r="K669" s="18">
        <f t="shared" si="107"/>
        <v>3961360</v>
      </c>
      <c r="L669" s="19">
        <f t="shared" si="108"/>
        <v>12000000</v>
      </c>
      <c r="M669" s="20"/>
      <c r="N669" s="20"/>
      <c r="P669" s="55"/>
      <c r="Q669" s="55"/>
      <c r="R669" s="14"/>
      <c r="S669" s="14"/>
    </row>
    <row r="670" spans="2:19" ht="12.95" hidden="1" customHeight="1" x14ac:dyDescent="0.25">
      <c r="B670" s="16">
        <v>43067.125</v>
      </c>
      <c r="C670" s="50" t="s">
        <v>647</v>
      </c>
      <c r="D670" s="34"/>
      <c r="E670" s="37">
        <v>4000000</v>
      </c>
      <c r="F670" s="37"/>
      <c r="G670" s="37">
        <f t="shared" si="106"/>
        <v>4000000</v>
      </c>
      <c r="H670" s="64">
        <v>0</v>
      </c>
      <c r="I670" s="64">
        <v>0</v>
      </c>
      <c r="J670" s="64">
        <v>38640</v>
      </c>
      <c r="K670" s="18">
        <f t="shared" si="107"/>
        <v>3961360</v>
      </c>
      <c r="L670" s="19">
        <f t="shared" si="108"/>
        <v>8000000</v>
      </c>
      <c r="M670" s="20"/>
      <c r="N670" s="20"/>
      <c r="P670" s="55"/>
      <c r="Q670" s="55"/>
      <c r="R670" s="14"/>
      <c r="S670" s="14"/>
    </row>
    <row r="671" spans="2:19" ht="12.95" hidden="1" customHeight="1" x14ac:dyDescent="0.25">
      <c r="B671" s="16">
        <v>43095.125</v>
      </c>
      <c r="C671" s="50" t="s">
        <v>648</v>
      </c>
      <c r="D671" s="34"/>
      <c r="E671" s="37">
        <v>4000000</v>
      </c>
      <c r="F671" s="37"/>
      <c r="G671" s="37">
        <f t="shared" si="106"/>
        <v>4000000</v>
      </c>
      <c r="H671" s="64"/>
      <c r="I671" s="64">
        <v>0</v>
      </c>
      <c r="J671" s="64">
        <v>38640</v>
      </c>
      <c r="K671" s="18">
        <f t="shared" si="107"/>
        <v>3961360</v>
      </c>
      <c r="L671" s="19">
        <f t="shared" si="108"/>
        <v>4000000</v>
      </c>
      <c r="M671" s="20"/>
      <c r="N671" s="20"/>
      <c r="P671" s="55"/>
      <c r="Q671" s="55"/>
      <c r="R671" s="14"/>
      <c r="S671" s="14"/>
    </row>
    <row r="672" spans="2:19" ht="12.95" hidden="1" customHeight="1" x14ac:dyDescent="0.25">
      <c r="B672" s="16">
        <v>43112.125</v>
      </c>
      <c r="C672" s="50" t="s">
        <v>649</v>
      </c>
      <c r="D672" s="34"/>
      <c r="E672" s="37">
        <v>3866667</v>
      </c>
      <c r="F672" s="37"/>
      <c r="G672" s="37">
        <f t="shared" si="106"/>
        <v>3866667</v>
      </c>
      <c r="H672" s="64">
        <v>0</v>
      </c>
      <c r="I672" s="64">
        <v>0</v>
      </c>
      <c r="J672" s="64">
        <v>37352</v>
      </c>
      <c r="K672" s="18">
        <f t="shared" si="107"/>
        <v>3829315</v>
      </c>
      <c r="L672" s="19">
        <f t="shared" si="108"/>
        <v>133333</v>
      </c>
      <c r="M672" s="20"/>
      <c r="N672" s="20"/>
      <c r="P672" s="55"/>
      <c r="Q672" s="55"/>
      <c r="R672" s="14"/>
      <c r="S672" s="14"/>
    </row>
    <row r="673" spans="2:19" ht="12.95" hidden="1" customHeight="1" x14ac:dyDescent="0.25">
      <c r="B673" s="16">
        <v>43112.125</v>
      </c>
      <c r="C673" s="50" t="s">
        <v>24</v>
      </c>
      <c r="D673" s="34"/>
      <c r="E673" s="37">
        <v>133333</v>
      </c>
      <c r="F673" s="37"/>
      <c r="G673" s="37">
        <f t="shared" si="106"/>
        <v>133333</v>
      </c>
      <c r="H673" s="64">
        <v>0</v>
      </c>
      <c r="I673" s="64">
        <v>0</v>
      </c>
      <c r="J673" s="64">
        <v>0</v>
      </c>
      <c r="K673" s="18">
        <f t="shared" si="107"/>
        <v>133333</v>
      </c>
      <c r="L673" s="19">
        <f t="shared" si="108"/>
        <v>0</v>
      </c>
      <c r="M673" s="20"/>
      <c r="N673" s="20"/>
      <c r="P673" s="55"/>
      <c r="Q673" s="55"/>
      <c r="R673" s="14"/>
      <c r="S673" s="14"/>
    </row>
    <row r="674" spans="2:19" ht="12.95" hidden="1" customHeight="1" x14ac:dyDescent="0.25">
      <c r="B674" s="9" t="s">
        <v>650</v>
      </c>
      <c r="C674" s="10"/>
      <c r="D674" s="10">
        <v>78400000</v>
      </c>
      <c r="E674" s="11">
        <f>+D674</f>
        <v>78400000</v>
      </c>
      <c r="F674" s="272"/>
      <c r="G674" s="272"/>
      <c r="H674" s="272"/>
      <c r="I674" s="272"/>
      <c r="J674" s="272"/>
      <c r="K674" s="272"/>
      <c r="L674" s="11">
        <f>+D674</f>
        <v>78400000</v>
      </c>
      <c r="M674" s="12"/>
      <c r="N674" s="12"/>
      <c r="P674" s="55"/>
      <c r="Q674" s="55"/>
      <c r="R674" s="14"/>
      <c r="S674" s="14"/>
    </row>
    <row r="675" spans="2:19" ht="12.95" hidden="1" customHeight="1" x14ac:dyDescent="0.25">
      <c r="B675" s="16">
        <v>42807</v>
      </c>
      <c r="C675" s="50" t="s">
        <v>651</v>
      </c>
      <c r="D675" s="34"/>
      <c r="E675" s="76">
        <v>7000000</v>
      </c>
      <c r="F675" s="37"/>
      <c r="G675" s="37">
        <f>+E675</f>
        <v>7000000</v>
      </c>
      <c r="H675" s="64">
        <v>0</v>
      </c>
      <c r="I675" s="64">
        <v>450512</v>
      </c>
      <c r="J675" s="64">
        <v>67620</v>
      </c>
      <c r="K675" s="18">
        <f>+G675-I675-J675</f>
        <v>6481868</v>
      </c>
      <c r="L675" s="19">
        <f>+L674-G675</f>
        <v>71400000</v>
      </c>
      <c r="M675" s="20"/>
      <c r="N675" s="20"/>
      <c r="P675" s="55"/>
      <c r="Q675" s="55"/>
      <c r="R675" s="14"/>
      <c r="S675" s="14"/>
    </row>
    <row r="676" spans="2:19" ht="12.95" hidden="1" customHeight="1" x14ac:dyDescent="0.25">
      <c r="B676" s="16">
        <v>42832</v>
      </c>
      <c r="C676" s="50" t="s">
        <v>652</v>
      </c>
      <c r="D676" s="34"/>
      <c r="E676" s="76">
        <v>7000000</v>
      </c>
      <c r="F676" s="37"/>
      <c r="G676" s="37">
        <f>+E676</f>
        <v>7000000</v>
      </c>
      <c r="H676" s="64"/>
      <c r="I676" s="64">
        <v>450512</v>
      </c>
      <c r="J676" s="64">
        <v>67620</v>
      </c>
      <c r="K676" s="18">
        <f>+G676-I676-J676</f>
        <v>6481868</v>
      </c>
      <c r="L676" s="19">
        <f>+L675-G676</f>
        <v>64400000</v>
      </c>
      <c r="M676" s="20"/>
      <c r="N676" s="20"/>
      <c r="P676" s="55"/>
      <c r="Q676" s="55"/>
      <c r="R676" s="14"/>
      <c r="S676" s="14"/>
    </row>
    <row r="677" spans="2:19" ht="12.95" hidden="1" customHeight="1" x14ac:dyDescent="0.25">
      <c r="B677" s="16">
        <v>42921</v>
      </c>
      <c r="C677" s="50" t="s">
        <v>653</v>
      </c>
      <c r="D677" s="34"/>
      <c r="E677" s="76">
        <v>1166667</v>
      </c>
      <c r="F677" s="37"/>
      <c r="G677" s="37">
        <f>+E677</f>
        <v>1166667</v>
      </c>
      <c r="H677" s="64"/>
      <c r="I677" s="64">
        <v>11270</v>
      </c>
      <c r="J677" s="64">
        <v>67620</v>
      </c>
      <c r="K677" s="18">
        <f>+G677-I677-J677</f>
        <v>1087777</v>
      </c>
      <c r="L677" s="19">
        <f>+L676-G677</f>
        <v>63233333</v>
      </c>
      <c r="M677" s="20"/>
      <c r="N677" s="20"/>
      <c r="P677" s="55"/>
      <c r="Q677" s="55"/>
      <c r="R677" s="14"/>
      <c r="S677" s="14"/>
    </row>
    <row r="678" spans="2:19" ht="12.95" hidden="1" customHeight="1" x14ac:dyDescent="0.25">
      <c r="B678" s="16">
        <v>42921</v>
      </c>
      <c r="C678" s="50" t="s">
        <v>654</v>
      </c>
      <c r="D678" s="34"/>
      <c r="E678" s="76">
        <v>63233333</v>
      </c>
      <c r="F678" s="37"/>
      <c r="G678" s="37">
        <f>+E678</f>
        <v>63233333</v>
      </c>
      <c r="H678" s="64"/>
      <c r="I678" s="64"/>
      <c r="J678" s="64"/>
      <c r="K678" s="18">
        <f>+G678-I678-J678</f>
        <v>63233333</v>
      </c>
      <c r="L678" s="19">
        <f>+L677-G678</f>
        <v>0</v>
      </c>
      <c r="M678" s="20"/>
      <c r="N678" s="20"/>
      <c r="P678" s="55"/>
      <c r="Q678" s="55"/>
      <c r="R678" s="14"/>
      <c r="S678" s="14"/>
    </row>
    <row r="679" spans="2:19" ht="12.95" hidden="1" customHeight="1" x14ac:dyDescent="0.25">
      <c r="B679" s="9" t="s">
        <v>655</v>
      </c>
      <c r="C679" s="10"/>
      <c r="D679" s="10">
        <f>90000000+30000000+11400000</f>
        <v>131400000</v>
      </c>
      <c r="E679" s="11">
        <f>+D679</f>
        <v>131400000</v>
      </c>
      <c r="F679" s="272"/>
      <c r="G679" s="272"/>
      <c r="H679" s="272"/>
      <c r="I679" s="272"/>
      <c r="J679" s="272"/>
      <c r="K679" s="272"/>
      <c r="L679" s="11">
        <f>+D679</f>
        <v>131400000</v>
      </c>
      <c r="M679" s="12"/>
      <c r="N679" s="12"/>
      <c r="P679" s="55"/>
      <c r="Q679" s="55"/>
      <c r="R679" s="14"/>
      <c r="S679" s="14"/>
    </row>
    <row r="680" spans="2:19" ht="12.95" hidden="1" customHeight="1" x14ac:dyDescent="0.25">
      <c r="B680" s="16">
        <v>42809</v>
      </c>
      <c r="C680" s="50" t="s">
        <v>656</v>
      </c>
      <c r="D680" s="34"/>
      <c r="E680" s="76">
        <v>9000000</v>
      </c>
      <c r="F680" s="37"/>
      <c r="G680" s="37">
        <f t="shared" ref="G680:G693" si="109">+E680</f>
        <v>9000000</v>
      </c>
      <c r="H680" s="64">
        <v>215546.25</v>
      </c>
      <c r="I680" s="64">
        <v>518085.29</v>
      </c>
      <c r="J680" s="64">
        <v>73058.820000000007</v>
      </c>
      <c r="K680" s="18">
        <f t="shared" ref="K680:K693" si="110">+G680-I680-J680</f>
        <v>8408855.8900000006</v>
      </c>
      <c r="L680" s="19">
        <f t="shared" ref="L680:L693" si="111">+L679-G680</f>
        <v>122400000</v>
      </c>
      <c r="M680" s="20"/>
      <c r="N680" s="20"/>
      <c r="P680" s="55"/>
      <c r="Q680" s="55"/>
      <c r="R680" s="14"/>
      <c r="S680" s="14"/>
    </row>
    <row r="681" spans="2:19" ht="12.95" hidden="1" customHeight="1" x14ac:dyDescent="0.25">
      <c r="B681" s="16">
        <v>42835</v>
      </c>
      <c r="C681" s="50" t="s">
        <v>657</v>
      </c>
      <c r="D681" s="34"/>
      <c r="E681" s="76">
        <v>9000000</v>
      </c>
      <c r="F681" s="37"/>
      <c r="G681" s="37">
        <f t="shared" si="109"/>
        <v>9000000</v>
      </c>
      <c r="H681" s="64">
        <v>215546.25</v>
      </c>
      <c r="I681" s="64">
        <v>411039.05</v>
      </c>
      <c r="J681" s="64">
        <v>73058.820000000007</v>
      </c>
      <c r="K681" s="18">
        <f t="shared" si="110"/>
        <v>8515902.129999999</v>
      </c>
      <c r="L681" s="19">
        <f t="shared" si="111"/>
        <v>113400000</v>
      </c>
      <c r="M681" s="20"/>
      <c r="N681" s="20"/>
      <c r="P681" s="55"/>
      <c r="Q681" s="55"/>
      <c r="R681" s="14"/>
      <c r="S681" s="14"/>
    </row>
    <row r="682" spans="2:19" ht="12.95" hidden="1" customHeight="1" x14ac:dyDescent="0.25">
      <c r="B682" s="16">
        <v>42832</v>
      </c>
      <c r="C682" s="50" t="s">
        <v>658</v>
      </c>
      <c r="D682" s="34"/>
      <c r="E682" s="76">
        <v>3043479</v>
      </c>
      <c r="F682" s="37"/>
      <c r="G682" s="37">
        <f t="shared" si="109"/>
        <v>3043479</v>
      </c>
      <c r="H682" s="64"/>
      <c r="I682" s="64"/>
      <c r="J682" s="64"/>
      <c r="K682" s="18">
        <f t="shared" si="110"/>
        <v>3043479</v>
      </c>
      <c r="L682" s="19">
        <f t="shared" si="111"/>
        <v>110356521</v>
      </c>
      <c r="M682" s="20"/>
      <c r="N682" s="20"/>
      <c r="P682" s="55"/>
      <c r="Q682" s="55"/>
      <c r="R682" s="14"/>
      <c r="S682" s="14"/>
    </row>
    <row r="683" spans="2:19" ht="12.95" hidden="1" customHeight="1" x14ac:dyDescent="0.25">
      <c r="B683" s="16">
        <v>42870</v>
      </c>
      <c r="C683" s="50" t="s">
        <v>659</v>
      </c>
      <c r="D683" s="34"/>
      <c r="E683" s="76">
        <v>9000000</v>
      </c>
      <c r="F683" s="37"/>
      <c r="G683" s="37">
        <f t="shared" si="109"/>
        <v>9000000</v>
      </c>
      <c r="H683" s="64">
        <v>215546.25</v>
      </c>
      <c r="I683" s="64">
        <v>518085.29</v>
      </c>
      <c r="J683" s="64">
        <v>73058.820000000007</v>
      </c>
      <c r="K683" s="18">
        <f t="shared" si="110"/>
        <v>8408855.8900000006</v>
      </c>
      <c r="L683" s="19">
        <f t="shared" si="111"/>
        <v>101356521</v>
      </c>
      <c r="M683" s="20"/>
      <c r="N683" s="20"/>
      <c r="P683" s="55"/>
      <c r="Q683" s="55"/>
      <c r="R683" s="14"/>
      <c r="S683" s="14"/>
    </row>
    <row r="684" spans="2:19" ht="12.95" hidden="1" customHeight="1" x14ac:dyDescent="0.25">
      <c r="B684" s="16">
        <v>42916</v>
      </c>
      <c r="C684" s="50" t="s">
        <v>660</v>
      </c>
      <c r="D684" s="34"/>
      <c r="E684" s="76">
        <v>9000000</v>
      </c>
      <c r="F684" s="37"/>
      <c r="G684" s="37">
        <f t="shared" si="109"/>
        <v>9000000</v>
      </c>
      <c r="H684" s="64">
        <v>215546.25</v>
      </c>
      <c r="I684" s="64">
        <v>265808.56</v>
      </c>
      <c r="J684" s="64">
        <v>64730.12</v>
      </c>
      <c r="K684" s="18">
        <f t="shared" si="110"/>
        <v>8669461.3200000003</v>
      </c>
      <c r="L684" s="19">
        <f t="shared" si="111"/>
        <v>92356521</v>
      </c>
      <c r="M684" s="20"/>
      <c r="N684" s="20"/>
      <c r="P684" s="55"/>
      <c r="Q684" s="55"/>
      <c r="R684" s="14"/>
      <c r="S684" s="14"/>
    </row>
    <row r="685" spans="2:19" ht="12.95" hidden="1" customHeight="1" x14ac:dyDescent="0.25">
      <c r="B685" s="16">
        <v>42947</v>
      </c>
      <c r="C685" s="50" t="s">
        <v>661</v>
      </c>
      <c r="D685" s="34"/>
      <c r="E685" s="76">
        <v>9000000</v>
      </c>
      <c r="F685" s="37"/>
      <c r="G685" s="37">
        <f t="shared" si="109"/>
        <v>9000000</v>
      </c>
      <c r="H685" s="64">
        <v>215546.25</v>
      </c>
      <c r="I685" s="64">
        <v>377387.5</v>
      </c>
      <c r="J685" s="64">
        <v>64730.12</v>
      </c>
      <c r="K685" s="18">
        <f t="shared" si="110"/>
        <v>8557882.3800000008</v>
      </c>
      <c r="L685" s="19">
        <f t="shared" si="111"/>
        <v>83356521</v>
      </c>
      <c r="M685" s="20"/>
      <c r="N685" s="20"/>
      <c r="P685" s="55"/>
      <c r="Q685" s="55"/>
      <c r="R685" s="14"/>
      <c r="S685" s="14"/>
    </row>
    <row r="686" spans="2:19" ht="12.95" hidden="1" customHeight="1" x14ac:dyDescent="0.25">
      <c r="B686" s="16">
        <v>42965</v>
      </c>
      <c r="C686" s="50" t="s">
        <v>662</v>
      </c>
      <c r="D686" s="34"/>
      <c r="E686" s="76">
        <v>9000000</v>
      </c>
      <c r="F686" s="37"/>
      <c r="G686" s="37">
        <f t="shared" si="109"/>
        <v>9000000</v>
      </c>
      <c r="H686" s="64">
        <v>215546.25</v>
      </c>
      <c r="I686" s="64">
        <v>265808.56</v>
      </c>
      <c r="J686" s="64">
        <v>64730.12</v>
      </c>
      <c r="K686" s="18">
        <f t="shared" si="110"/>
        <v>8669461.3200000003</v>
      </c>
      <c r="L686" s="19">
        <f t="shared" si="111"/>
        <v>74356521</v>
      </c>
      <c r="M686" s="20"/>
      <c r="N686" s="20"/>
      <c r="P686" s="55"/>
      <c r="Q686" s="55"/>
      <c r="R686" s="14"/>
      <c r="S686" s="14"/>
    </row>
    <row r="687" spans="2:19" ht="12.95" hidden="1" customHeight="1" x14ac:dyDescent="0.25">
      <c r="B687" s="16">
        <v>42993</v>
      </c>
      <c r="C687" s="50" t="s">
        <v>663</v>
      </c>
      <c r="D687" s="34"/>
      <c r="E687" s="76">
        <v>9000000</v>
      </c>
      <c r="F687" s="37"/>
      <c r="G687" s="37">
        <f t="shared" si="109"/>
        <v>9000000</v>
      </c>
      <c r="H687" s="64">
        <v>215546.25</v>
      </c>
      <c r="I687" s="64">
        <v>300186.33</v>
      </c>
      <c r="J687" s="64">
        <v>64730.12</v>
      </c>
      <c r="K687" s="18">
        <f t="shared" si="110"/>
        <v>8635083.5500000007</v>
      </c>
      <c r="L687" s="19">
        <f t="shared" si="111"/>
        <v>65356521</v>
      </c>
      <c r="M687" s="20"/>
      <c r="N687" s="20"/>
      <c r="P687" s="55"/>
      <c r="Q687" s="55"/>
      <c r="R687" s="14"/>
      <c r="S687" s="14"/>
    </row>
    <row r="688" spans="2:19" ht="12.95" hidden="1" customHeight="1" x14ac:dyDescent="0.25">
      <c r="B688" s="16">
        <v>43020</v>
      </c>
      <c r="C688" s="50" t="s">
        <v>664</v>
      </c>
      <c r="D688" s="34"/>
      <c r="E688" s="76">
        <v>9000000</v>
      </c>
      <c r="F688" s="37"/>
      <c r="G688" s="37">
        <f t="shared" si="109"/>
        <v>9000000</v>
      </c>
      <c r="H688" s="64">
        <v>215546.25</v>
      </c>
      <c r="I688" s="64">
        <v>270119.56</v>
      </c>
      <c r="J688" s="64">
        <v>64730.12</v>
      </c>
      <c r="K688" s="18">
        <f t="shared" si="110"/>
        <v>8665150.3200000003</v>
      </c>
      <c r="L688" s="19">
        <f t="shared" si="111"/>
        <v>56356521</v>
      </c>
      <c r="M688" s="20"/>
      <c r="N688" s="20"/>
      <c r="P688" s="55"/>
      <c r="Q688" s="55"/>
      <c r="R688" s="14"/>
      <c r="S688" s="14"/>
    </row>
    <row r="689" spans="2:19" ht="12.95" hidden="1" customHeight="1" x14ac:dyDescent="0.25">
      <c r="B689" s="16">
        <v>43053</v>
      </c>
      <c r="C689" s="50" t="s">
        <v>665</v>
      </c>
      <c r="D689" s="34"/>
      <c r="E689" s="76">
        <v>9000000</v>
      </c>
      <c r="F689" s="37"/>
      <c r="G689" s="37">
        <f t="shared" si="109"/>
        <v>9000000</v>
      </c>
      <c r="H689" s="64">
        <v>215546.25</v>
      </c>
      <c r="I689" s="64">
        <v>265808.56</v>
      </c>
      <c r="J689" s="64">
        <v>64730.12</v>
      </c>
      <c r="K689" s="18">
        <f t="shared" si="110"/>
        <v>8669461.3200000003</v>
      </c>
      <c r="L689" s="19">
        <f t="shared" si="111"/>
        <v>47356521</v>
      </c>
      <c r="M689" s="20"/>
      <c r="N689" s="20"/>
      <c r="P689" s="55"/>
      <c r="Q689" s="55"/>
      <c r="R689" s="14"/>
      <c r="S689" s="14"/>
    </row>
    <row r="690" spans="2:19" ht="12.95" hidden="1" customHeight="1" x14ac:dyDescent="0.25">
      <c r="B690" s="16">
        <v>43088.125</v>
      </c>
      <c r="C690" s="50" t="s">
        <v>666</v>
      </c>
      <c r="D690" s="34"/>
      <c r="E690" s="76">
        <v>9000000</v>
      </c>
      <c r="F690" s="37"/>
      <c r="G690" s="37">
        <f t="shared" si="109"/>
        <v>9000000</v>
      </c>
      <c r="H690" s="64">
        <v>215546.25</v>
      </c>
      <c r="I690" s="64">
        <v>265808.59000000003</v>
      </c>
      <c r="J690" s="64">
        <v>64730.12</v>
      </c>
      <c r="K690" s="18">
        <f t="shared" si="110"/>
        <v>8669461.290000001</v>
      </c>
      <c r="L690" s="19">
        <f t="shared" si="111"/>
        <v>38356521</v>
      </c>
      <c r="M690" s="20"/>
      <c r="N690" s="20"/>
      <c r="P690" s="55"/>
      <c r="Q690" s="55"/>
      <c r="R690" s="14"/>
      <c r="S690" s="14"/>
    </row>
    <row r="691" spans="2:19" ht="12.95" hidden="1" customHeight="1" x14ac:dyDescent="0.25">
      <c r="B691" s="16">
        <v>43097.125</v>
      </c>
      <c r="C691" s="50" t="s">
        <v>667</v>
      </c>
      <c r="D691" s="34"/>
      <c r="E691" s="76">
        <v>9000000</v>
      </c>
      <c r="F691" s="37"/>
      <c r="G691" s="37">
        <f t="shared" si="109"/>
        <v>9000000</v>
      </c>
      <c r="H691" s="64">
        <v>215546.25</v>
      </c>
      <c r="I691" s="64">
        <v>265808.59000000003</v>
      </c>
      <c r="J691" s="64">
        <v>64730.12</v>
      </c>
      <c r="K691" s="18">
        <f t="shared" si="110"/>
        <v>8669461.290000001</v>
      </c>
      <c r="L691" s="19">
        <f t="shared" si="111"/>
        <v>29356521</v>
      </c>
      <c r="M691" s="20"/>
      <c r="N691" s="20"/>
      <c r="P691" s="55"/>
      <c r="Q691" s="55"/>
      <c r="R691" s="14"/>
      <c r="S691" s="14"/>
    </row>
    <row r="692" spans="2:19" ht="12.95" hidden="1" customHeight="1" x14ac:dyDescent="0.25">
      <c r="B692" s="16">
        <v>43105.125</v>
      </c>
      <c r="C692" s="50" t="s">
        <v>668</v>
      </c>
      <c r="D692" s="34"/>
      <c r="E692" s="76">
        <v>2400000</v>
      </c>
      <c r="F692" s="37"/>
      <c r="G692" s="37">
        <f t="shared" si="109"/>
        <v>2400000</v>
      </c>
      <c r="H692" s="64">
        <v>57478.95</v>
      </c>
      <c r="I692" s="64">
        <v>0</v>
      </c>
      <c r="J692" s="64">
        <v>17261.37</v>
      </c>
      <c r="K692" s="18">
        <f t="shared" si="110"/>
        <v>2382738.63</v>
      </c>
      <c r="L692" s="19">
        <f t="shared" si="111"/>
        <v>26956521</v>
      </c>
      <c r="M692" s="20"/>
      <c r="N692" s="20"/>
      <c r="P692" s="55"/>
      <c r="Q692" s="55"/>
      <c r="R692" s="14"/>
      <c r="S692" s="14"/>
    </row>
    <row r="693" spans="2:19" ht="12.95" hidden="1" customHeight="1" x14ac:dyDescent="0.25">
      <c r="B693" s="16">
        <v>43105.125</v>
      </c>
      <c r="C693" s="50" t="s">
        <v>24</v>
      </c>
      <c r="D693" s="34"/>
      <c r="E693" s="76">
        <v>26956521</v>
      </c>
      <c r="F693" s="37"/>
      <c r="G693" s="37">
        <f t="shared" si="109"/>
        <v>26956521</v>
      </c>
      <c r="H693" s="64">
        <v>0</v>
      </c>
      <c r="I693" s="64">
        <v>0</v>
      </c>
      <c r="J693" s="64">
        <v>0</v>
      </c>
      <c r="K693" s="18">
        <f t="shared" si="110"/>
        <v>26956521</v>
      </c>
      <c r="L693" s="19">
        <f t="shared" si="111"/>
        <v>0</v>
      </c>
      <c r="M693" s="20"/>
      <c r="N693" s="20"/>
      <c r="P693" s="55"/>
      <c r="Q693" s="55"/>
      <c r="R693" s="14"/>
      <c r="S693" s="14"/>
    </row>
    <row r="694" spans="2:19" ht="12.95" hidden="1" customHeight="1" x14ac:dyDescent="0.25">
      <c r="B694" s="9" t="s">
        <v>669</v>
      </c>
      <c r="C694" s="10"/>
      <c r="D694" s="10">
        <v>39550000</v>
      </c>
      <c r="E694" s="11">
        <f>+D694</f>
        <v>39550000</v>
      </c>
      <c r="F694" s="272"/>
      <c r="G694" s="272"/>
      <c r="H694" s="272"/>
      <c r="I694" s="272"/>
      <c r="J694" s="272"/>
      <c r="K694" s="272"/>
      <c r="L694" s="11">
        <f>+D694</f>
        <v>39550000</v>
      </c>
      <c r="M694" s="12"/>
      <c r="N694" s="12"/>
      <c r="P694" s="55"/>
      <c r="Q694" s="55"/>
      <c r="R694" s="14"/>
      <c r="S694" s="14"/>
    </row>
    <row r="695" spans="2:19" ht="12.95" hidden="1" customHeight="1" x14ac:dyDescent="0.25">
      <c r="B695" s="16">
        <v>42802</v>
      </c>
      <c r="C695" s="50" t="s">
        <v>670</v>
      </c>
      <c r="D695" s="34"/>
      <c r="E695" s="76">
        <v>3500000</v>
      </c>
      <c r="F695" s="37"/>
      <c r="G695" s="37">
        <f t="shared" ref="G695:G707" si="112">+E695</f>
        <v>3500000</v>
      </c>
      <c r="H695" s="64">
        <v>0</v>
      </c>
      <c r="I695" s="64">
        <v>0</v>
      </c>
      <c r="J695" s="64">
        <v>29955.66</v>
      </c>
      <c r="K695" s="18">
        <f t="shared" ref="K695:K707" si="113">+G695-I695-J695</f>
        <v>3470044.34</v>
      </c>
      <c r="L695" s="19">
        <f t="shared" ref="L695:L707" si="114">+L694-G695</f>
        <v>36050000</v>
      </c>
      <c r="M695" s="20"/>
      <c r="N695" s="20"/>
      <c r="P695" s="55"/>
      <c r="Q695" s="55"/>
      <c r="R695" s="14"/>
      <c r="S695" s="14"/>
    </row>
    <row r="696" spans="2:19" ht="12.95" hidden="1" customHeight="1" x14ac:dyDescent="0.25">
      <c r="B696" s="16">
        <v>42832</v>
      </c>
      <c r="C696" s="50" t="s">
        <v>670</v>
      </c>
      <c r="D696" s="34"/>
      <c r="E696" s="76">
        <v>3500000</v>
      </c>
      <c r="F696" s="37"/>
      <c r="G696" s="37">
        <f t="shared" si="112"/>
        <v>3500000</v>
      </c>
      <c r="H696" s="64"/>
      <c r="I696" s="64"/>
      <c r="J696" s="64">
        <v>29955.66</v>
      </c>
      <c r="K696" s="18">
        <f t="shared" si="113"/>
        <v>3470044.34</v>
      </c>
      <c r="L696" s="19">
        <f t="shared" si="114"/>
        <v>32550000</v>
      </c>
      <c r="M696" s="20"/>
      <c r="N696" s="20"/>
      <c r="P696" s="55"/>
      <c r="Q696" s="55"/>
      <c r="R696" s="14"/>
      <c r="S696" s="14"/>
    </row>
    <row r="697" spans="2:19" ht="12.95" hidden="1" customHeight="1" x14ac:dyDescent="0.25">
      <c r="B697" s="16">
        <v>42863</v>
      </c>
      <c r="C697" s="50" t="s">
        <v>671</v>
      </c>
      <c r="D697" s="34"/>
      <c r="E697" s="76">
        <v>3500000</v>
      </c>
      <c r="F697" s="37"/>
      <c r="G697" s="37">
        <f t="shared" si="112"/>
        <v>3500000</v>
      </c>
      <c r="H697" s="64"/>
      <c r="I697" s="64"/>
      <c r="J697" s="64">
        <v>29955.66</v>
      </c>
      <c r="K697" s="18">
        <f t="shared" si="113"/>
        <v>3470044.34</v>
      </c>
      <c r="L697" s="19">
        <f t="shared" si="114"/>
        <v>29050000</v>
      </c>
      <c r="M697" s="20"/>
      <c r="N697" s="20"/>
      <c r="P697" s="55"/>
      <c r="Q697" s="55"/>
      <c r="R697" s="14"/>
      <c r="S697" s="14"/>
    </row>
    <row r="698" spans="2:19" ht="12.95" hidden="1" customHeight="1" x14ac:dyDescent="0.25">
      <c r="B698" s="16">
        <v>42908</v>
      </c>
      <c r="C698" s="50" t="s">
        <v>672</v>
      </c>
      <c r="D698" s="34"/>
      <c r="E698" s="76">
        <v>3500000</v>
      </c>
      <c r="F698" s="37"/>
      <c r="G698" s="37">
        <f t="shared" si="112"/>
        <v>3500000</v>
      </c>
      <c r="H698" s="64"/>
      <c r="I698" s="64"/>
      <c r="J698" s="64">
        <v>29955.66</v>
      </c>
      <c r="K698" s="18">
        <f t="shared" si="113"/>
        <v>3470044.34</v>
      </c>
      <c r="L698" s="19">
        <f t="shared" si="114"/>
        <v>25550000</v>
      </c>
      <c r="M698" s="20"/>
      <c r="N698" s="20"/>
      <c r="P698" s="55"/>
      <c r="Q698" s="55"/>
      <c r="R698" s="14"/>
      <c r="S698" s="14"/>
    </row>
    <row r="699" spans="2:19" ht="12.95" hidden="1" customHeight="1" x14ac:dyDescent="0.25">
      <c r="B699" s="16">
        <v>42944</v>
      </c>
      <c r="C699" s="50" t="s">
        <v>673</v>
      </c>
      <c r="D699" s="34"/>
      <c r="E699" s="76">
        <v>3500000</v>
      </c>
      <c r="F699" s="37"/>
      <c r="G699" s="37">
        <f t="shared" si="112"/>
        <v>3500000</v>
      </c>
      <c r="H699" s="64"/>
      <c r="I699" s="64"/>
      <c r="J699" s="64">
        <v>29955.66</v>
      </c>
      <c r="K699" s="18">
        <f t="shared" si="113"/>
        <v>3470044.34</v>
      </c>
      <c r="L699" s="19">
        <f t="shared" si="114"/>
        <v>22050000</v>
      </c>
      <c r="M699" s="20"/>
      <c r="N699" s="20"/>
      <c r="P699" s="55"/>
      <c r="Q699" s="55"/>
      <c r="R699" s="14"/>
      <c r="S699" s="14"/>
    </row>
    <row r="700" spans="2:19" ht="12.95" hidden="1" customHeight="1" x14ac:dyDescent="0.25">
      <c r="B700" s="16">
        <v>42956</v>
      </c>
      <c r="C700" s="50" t="s">
        <v>674</v>
      </c>
      <c r="D700" s="34"/>
      <c r="E700" s="76">
        <v>3500000</v>
      </c>
      <c r="F700" s="37"/>
      <c r="G700" s="37">
        <f t="shared" si="112"/>
        <v>3500000</v>
      </c>
      <c r="H700" s="64"/>
      <c r="I700" s="64"/>
      <c r="J700" s="64">
        <v>29955.66</v>
      </c>
      <c r="K700" s="18">
        <f t="shared" si="113"/>
        <v>3470044.34</v>
      </c>
      <c r="L700" s="19">
        <f t="shared" si="114"/>
        <v>18550000</v>
      </c>
      <c r="M700" s="20"/>
      <c r="N700" s="20"/>
      <c r="P700" s="55"/>
      <c r="Q700" s="55"/>
      <c r="R700" s="14"/>
      <c r="S700" s="14"/>
    </row>
    <row r="701" spans="2:19" ht="12.95" hidden="1" customHeight="1" x14ac:dyDescent="0.25">
      <c r="B701" s="16">
        <v>42993</v>
      </c>
      <c r="C701" s="50" t="s">
        <v>675</v>
      </c>
      <c r="D701" s="34"/>
      <c r="E701" s="76">
        <v>3500000</v>
      </c>
      <c r="F701" s="37"/>
      <c r="G701" s="37">
        <f t="shared" si="112"/>
        <v>3500000</v>
      </c>
      <c r="H701" s="64"/>
      <c r="I701" s="64"/>
      <c r="J701" s="64">
        <v>29955.66</v>
      </c>
      <c r="K701" s="18">
        <f t="shared" si="113"/>
        <v>3470044.34</v>
      </c>
      <c r="L701" s="19">
        <f t="shared" si="114"/>
        <v>15050000</v>
      </c>
      <c r="M701" s="20"/>
      <c r="N701" s="20"/>
      <c r="P701" s="55"/>
      <c r="Q701" s="55"/>
      <c r="R701" s="14"/>
      <c r="S701" s="14"/>
    </row>
    <row r="702" spans="2:19" ht="12.95" hidden="1" customHeight="1" x14ac:dyDescent="0.25">
      <c r="B702" s="16">
        <v>43010</v>
      </c>
      <c r="C702" s="50" t="s">
        <v>676</v>
      </c>
      <c r="D702" s="34"/>
      <c r="E702" s="76">
        <v>3500000</v>
      </c>
      <c r="F702" s="37"/>
      <c r="G702" s="37">
        <f t="shared" si="112"/>
        <v>3500000</v>
      </c>
      <c r="H702" s="64">
        <v>0</v>
      </c>
      <c r="I702" s="64">
        <v>0</v>
      </c>
      <c r="J702" s="64">
        <v>29955.66</v>
      </c>
      <c r="K702" s="18">
        <f t="shared" si="113"/>
        <v>3470044.34</v>
      </c>
      <c r="L702" s="19">
        <f t="shared" si="114"/>
        <v>11550000</v>
      </c>
      <c r="M702" s="20"/>
      <c r="N702" s="20"/>
      <c r="P702" s="55"/>
      <c r="Q702" s="55"/>
      <c r="R702" s="14"/>
      <c r="S702" s="14"/>
    </row>
    <row r="703" spans="2:19" ht="12.95" hidden="1" customHeight="1" x14ac:dyDescent="0.25">
      <c r="B703" s="16">
        <v>43035</v>
      </c>
      <c r="C703" s="50" t="s">
        <v>677</v>
      </c>
      <c r="D703" s="34"/>
      <c r="E703" s="76">
        <v>3500000</v>
      </c>
      <c r="F703" s="37"/>
      <c r="G703" s="37">
        <f t="shared" si="112"/>
        <v>3500000</v>
      </c>
      <c r="H703" s="64">
        <v>0</v>
      </c>
      <c r="I703" s="64">
        <v>0</v>
      </c>
      <c r="J703" s="64">
        <v>29955.66</v>
      </c>
      <c r="K703" s="18">
        <f t="shared" si="113"/>
        <v>3470044.34</v>
      </c>
      <c r="L703" s="19">
        <f t="shared" si="114"/>
        <v>8050000</v>
      </c>
      <c r="M703" s="20"/>
      <c r="N703" s="20"/>
      <c r="P703" s="55"/>
      <c r="Q703" s="55"/>
      <c r="R703" s="14"/>
      <c r="S703" s="14"/>
    </row>
    <row r="704" spans="2:19" ht="12.95" hidden="1" customHeight="1" x14ac:dyDescent="0.25">
      <c r="B704" s="16">
        <v>43075.125</v>
      </c>
      <c r="C704" s="50" t="s">
        <v>678</v>
      </c>
      <c r="D704" s="34"/>
      <c r="E704" s="76">
        <v>3500000</v>
      </c>
      <c r="F704" s="37"/>
      <c r="G704" s="37">
        <f t="shared" si="112"/>
        <v>3500000</v>
      </c>
      <c r="H704" s="64"/>
      <c r="I704" s="64">
        <v>0</v>
      </c>
      <c r="J704" s="64">
        <v>29955.66</v>
      </c>
      <c r="K704" s="18">
        <f t="shared" si="113"/>
        <v>3470044.34</v>
      </c>
      <c r="L704" s="19">
        <f t="shared" si="114"/>
        <v>4550000</v>
      </c>
      <c r="M704" s="20"/>
      <c r="N704" s="20"/>
      <c r="P704" s="55"/>
      <c r="Q704" s="55"/>
      <c r="R704" s="14"/>
      <c r="S704" s="14"/>
    </row>
    <row r="705" spans="2:19" ht="12.95" hidden="1" customHeight="1" x14ac:dyDescent="0.25">
      <c r="B705" s="16">
        <v>43105.125</v>
      </c>
      <c r="C705" s="50" t="s">
        <v>679</v>
      </c>
      <c r="D705" s="34"/>
      <c r="E705" s="76">
        <v>3500000</v>
      </c>
      <c r="F705" s="37"/>
      <c r="G705" s="37">
        <f t="shared" si="112"/>
        <v>3500000</v>
      </c>
      <c r="H705" s="64">
        <v>0</v>
      </c>
      <c r="I705" s="64">
        <v>0</v>
      </c>
      <c r="J705" s="64">
        <v>29955.66</v>
      </c>
      <c r="K705" s="18">
        <f t="shared" si="113"/>
        <v>3470044.34</v>
      </c>
      <c r="L705" s="19">
        <f t="shared" si="114"/>
        <v>1050000</v>
      </c>
      <c r="M705" s="20"/>
      <c r="N705" s="20"/>
      <c r="P705" s="55"/>
      <c r="Q705" s="55"/>
      <c r="R705" s="14"/>
      <c r="S705" s="14"/>
    </row>
    <row r="706" spans="2:19" ht="12.95" hidden="1" customHeight="1" x14ac:dyDescent="0.25">
      <c r="B706" s="16">
        <v>43122.125</v>
      </c>
      <c r="C706" s="50" t="s">
        <v>680</v>
      </c>
      <c r="D706" s="34"/>
      <c r="E706" s="76">
        <v>933333.33</v>
      </c>
      <c r="F706" s="37"/>
      <c r="G706" s="37">
        <f t="shared" si="112"/>
        <v>933333.33</v>
      </c>
      <c r="H706" s="64">
        <v>0</v>
      </c>
      <c r="I706" s="64">
        <v>0</v>
      </c>
      <c r="J706" s="64">
        <v>7988.18</v>
      </c>
      <c r="K706" s="18">
        <f t="shared" si="113"/>
        <v>925345.14999999991</v>
      </c>
      <c r="L706" s="19">
        <f t="shared" si="114"/>
        <v>116666.67000000004</v>
      </c>
      <c r="M706" s="20"/>
      <c r="N706" s="20"/>
      <c r="P706" s="55"/>
      <c r="Q706" s="55"/>
      <c r="R706" s="14"/>
      <c r="S706" s="14"/>
    </row>
    <row r="707" spans="2:19" ht="12.95" hidden="1" customHeight="1" x14ac:dyDescent="0.25">
      <c r="B707" s="16">
        <v>43122.125</v>
      </c>
      <c r="C707" s="50" t="s">
        <v>24</v>
      </c>
      <c r="D707" s="34"/>
      <c r="E707" s="76">
        <v>116666.67</v>
      </c>
      <c r="F707" s="37"/>
      <c r="G707" s="37">
        <f t="shared" si="112"/>
        <v>116666.67</v>
      </c>
      <c r="H707" s="64">
        <v>0</v>
      </c>
      <c r="I707" s="64">
        <v>0</v>
      </c>
      <c r="J707" s="64">
        <v>0</v>
      </c>
      <c r="K707" s="18">
        <f t="shared" si="113"/>
        <v>116666.67</v>
      </c>
      <c r="L707" s="19">
        <f t="shared" si="114"/>
        <v>0</v>
      </c>
      <c r="M707" s="20"/>
      <c r="N707" s="20"/>
      <c r="P707" s="55"/>
      <c r="Q707" s="55"/>
      <c r="R707" s="14"/>
      <c r="S707" s="14"/>
    </row>
    <row r="708" spans="2:19" ht="12.95" hidden="1" customHeight="1" x14ac:dyDescent="0.25">
      <c r="B708" s="9" t="s">
        <v>681</v>
      </c>
      <c r="C708" s="10"/>
      <c r="D708" s="10">
        <v>22000000</v>
      </c>
      <c r="E708" s="11">
        <f>+D708</f>
        <v>22000000</v>
      </c>
      <c r="F708" s="272"/>
      <c r="G708" s="272"/>
      <c r="H708" s="272"/>
      <c r="I708" s="272"/>
      <c r="J708" s="272"/>
      <c r="K708" s="272"/>
      <c r="L708" s="11">
        <f>+D708</f>
        <v>22000000</v>
      </c>
      <c r="M708" s="12"/>
      <c r="N708" s="12"/>
      <c r="P708" s="55"/>
      <c r="Q708" s="55"/>
      <c r="R708" s="14"/>
      <c r="S708" s="14"/>
    </row>
    <row r="709" spans="2:19" ht="12.95" hidden="1" customHeight="1" x14ac:dyDescent="0.25">
      <c r="B709" s="16">
        <v>42802</v>
      </c>
      <c r="C709" s="50" t="s">
        <v>682</v>
      </c>
      <c r="D709" s="34"/>
      <c r="E709" s="76">
        <v>2000000</v>
      </c>
      <c r="F709" s="37"/>
      <c r="G709" s="37">
        <f t="shared" ref="G709:G719" si="115">+E709</f>
        <v>2000000</v>
      </c>
      <c r="H709" s="64"/>
      <c r="I709" s="64"/>
      <c r="J709" s="64">
        <v>19320</v>
      </c>
      <c r="K709" s="18">
        <f t="shared" ref="K709:K719" si="116">+G709-I709-J709</f>
        <v>1980680</v>
      </c>
      <c r="L709" s="19">
        <f t="shared" ref="L709:L719" si="117">+L708-G709</f>
        <v>20000000</v>
      </c>
      <c r="M709" s="20"/>
      <c r="N709" s="20"/>
      <c r="P709" s="55"/>
      <c r="Q709" s="55"/>
      <c r="R709" s="14"/>
      <c r="S709" s="14"/>
    </row>
    <row r="710" spans="2:19" ht="12.95" hidden="1" customHeight="1" x14ac:dyDescent="0.25">
      <c r="B710" s="16">
        <v>42850</v>
      </c>
      <c r="C710" s="50" t="s">
        <v>683</v>
      </c>
      <c r="D710" s="34"/>
      <c r="E710" s="76">
        <v>2000000</v>
      </c>
      <c r="F710" s="37"/>
      <c r="G710" s="37">
        <f t="shared" si="115"/>
        <v>2000000</v>
      </c>
      <c r="H710" s="64"/>
      <c r="I710" s="64"/>
      <c r="J710" s="64">
        <v>19320</v>
      </c>
      <c r="K710" s="18">
        <f t="shared" si="116"/>
        <v>1980680</v>
      </c>
      <c r="L710" s="19">
        <f t="shared" si="117"/>
        <v>18000000</v>
      </c>
      <c r="M710" s="82"/>
      <c r="N710" s="82"/>
      <c r="O710" s="83"/>
      <c r="P710" s="55"/>
      <c r="Q710" s="55"/>
      <c r="R710" s="14"/>
      <c r="S710" s="14"/>
    </row>
    <row r="711" spans="2:19" ht="12.95" hidden="1" customHeight="1" x14ac:dyDescent="0.25">
      <c r="B711" s="16">
        <v>42909</v>
      </c>
      <c r="C711" s="50" t="s">
        <v>684</v>
      </c>
      <c r="D711" s="34"/>
      <c r="E711" s="76">
        <v>2000000</v>
      </c>
      <c r="F711" s="37"/>
      <c r="G711" s="37">
        <f t="shared" si="115"/>
        <v>2000000</v>
      </c>
      <c r="H711" s="64"/>
      <c r="I711" s="64"/>
      <c r="J711" s="64">
        <v>19320</v>
      </c>
      <c r="K711" s="18">
        <f t="shared" si="116"/>
        <v>1980680</v>
      </c>
      <c r="L711" s="19">
        <f t="shared" si="117"/>
        <v>16000000</v>
      </c>
      <c r="M711" s="20"/>
      <c r="N711" s="20"/>
      <c r="O711" s="84"/>
      <c r="P711" s="55"/>
      <c r="Q711" s="55"/>
      <c r="R711" s="14"/>
      <c r="S711" s="14"/>
    </row>
    <row r="712" spans="2:19" ht="12.95" hidden="1" customHeight="1" x14ac:dyDescent="0.25">
      <c r="B712" s="16">
        <v>42916</v>
      </c>
      <c r="C712" s="50" t="s">
        <v>685</v>
      </c>
      <c r="D712" s="34"/>
      <c r="E712" s="76">
        <v>2000000</v>
      </c>
      <c r="F712" s="37"/>
      <c r="G712" s="37">
        <f t="shared" si="115"/>
        <v>2000000</v>
      </c>
      <c r="H712" s="64">
        <v>0</v>
      </c>
      <c r="I712" s="64">
        <v>0</v>
      </c>
      <c r="J712" s="64">
        <v>19320</v>
      </c>
      <c r="K712" s="18">
        <f t="shared" si="116"/>
        <v>1980680</v>
      </c>
      <c r="L712" s="19">
        <f t="shared" si="117"/>
        <v>14000000</v>
      </c>
      <c r="M712" s="20"/>
      <c r="N712" s="20"/>
      <c r="O712" s="84"/>
      <c r="P712" s="55"/>
      <c r="Q712" s="55"/>
      <c r="R712" s="14"/>
      <c r="S712" s="14"/>
    </row>
    <row r="713" spans="2:19" ht="12.95" hidden="1" customHeight="1" x14ac:dyDescent="0.25">
      <c r="B713" s="16">
        <v>42944</v>
      </c>
      <c r="C713" s="50" t="s">
        <v>686</v>
      </c>
      <c r="D713" s="34"/>
      <c r="E713" s="76">
        <v>2000000</v>
      </c>
      <c r="F713" s="37"/>
      <c r="G713" s="37">
        <f t="shared" si="115"/>
        <v>2000000</v>
      </c>
      <c r="H713" s="64"/>
      <c r="I713" s="64"/>
      <c r="J713" s="64">
        <v>19320</v>
      </c>
      <c r="K713" s="18">
        <f t="shared" si="116"/>
        <v>1980680</v>
      </c>
      <c r="L713" s="19">
        <f t="shared" si="117"/>
        <v>12000000</v>
      </c>
      <c r="M713" s="20"/>
      <c r="N713" s="20"/>
      <c r="O713" s="84"/>
      <c r="P713" s="55"/>
      <c r="Q713" s="55"/>
      <c r="R713" s="14"/>
      <c r="S713" s="14"/>
    </row>
    <row r="714" spans="2:19" ht="12.95" hidden="1" customHeight="1" x14ac:dyDescent="0.25">
      <c r="B714" s="16">
        <v>42993</v>
      </c>
      <c r="C714" s="50" t="s">
        <v>687</v>
      </c>
      <c r="D714" s="34"/>
      <c r="E714" s="76">
        <v>2000000</v>
      </c>
      <c r="F714" s="37"/>
      <c r="G714" s="37">
        <f t="shared" si="115"/>
        <v>2000000</v>
      </c>
      <c r="H714" s="64"/>
      <c r="I714" s="64"/>
      <c r="J714" s="64">
        <v>19320</v>
      </c>
      <c r="K714" s="18">
        <f t="shared" si="116"/>
        <v>1980680</v>
      </c>
      <c r="L714" s="19">
        <f t="shared" si="117"/>
        <v>10000000</v>
      </c>
      <c r="M714" s="20"/>
      <c r="N714" s="20"/>
      <c r="O714" s="84"/>
      <c r="P714" s="55"/>
      <c r="Q714" s="55"/>
      <c r="R714" s="14"/>
      <c r="S714" s="14"/>
    </row>
    <row r="715" spans="2:19" ht="12.95" hidden="1" customHeight="1" x14ac:dyDescent="0.25">
      <c r="B715" s="16">
        <v>43010</v>
      </c>
      <c r="C715" s="50" t="s">
        <v>688</v>
      </c>
      <c r="D715" s="34"/>
      <c r="E715" s="76">
        <v>2000000</v>
      </c>
      <c r="F715" s="37"/>
      <c r="G715" s="37">
        <f t="shared" si="115"/>
        <v>2000000</v>
      </c>
      <c r="H715" s="64">
        <v>0</v>
      </c>
      <c r="I715" s="64">
        <v>0</v>
      </c>
      <c r="J715" s="64">
        <v>19320</v>
      </c>
      <c r="K715" s="18">
        <f t="shared" si="116"/>
        <v>1980680</v>
      </c>
      <c r="L715" s="19">
        <f t="shared" si="117"/>
        <v>8000000</v>
      </c>
      <c r="M715" s="20"/>
      <c r="N715" s="20"/>
      <c r="O715" s="84"/>
      <c r="P715" s="55"/>
      <c r="Q715" s="55"/>
      <c r="R715" s="14"/>
      <c r="S715" s="14"/>
    </row>
    <row r="716" spans="2:19" ht="12.95" hidden="1" customHeight="1" x14ac:dyDescent="0.25">
      <c r="B716" s="16">
        <v>43035</v>
      </c>
      <c r="C716" s="50" t="s">
        <v>689</v>
      </c>
      <c r="D716" s="34"/>
      <c r="E716" s="76">
        <v>2000000</v>
      </c>
      <c r="F716" s="37"/>
      <c r="G716" s="37">
        <f t="shared" si="115"/>
        <v>2000000</v>
      </c>
      <c r="H716" s="64">
        <v>0</v>
      </c>
      <c r="I716" s="64">
        <v>0</v>
      </c>
      <c r="J716" s="64">
        <v>19320</v>
      </c>
      <c r="K716" s="18">
        <f t="shared" si="116"/>
        <v>1980680</v>
      </c>
      <c r="L716" s="19">
        <f t="shared" si="117"/>
        <v>6000000</v>
      </c>
      <c r="M716" s="20"/>
      <c r="N716" s="20"/>
      <c r="O716" s="84"/>
      <c r="P716" s="55"/>
      <c r="Q716" s="55"/>
      <c r="R716" s="14"/>
      <c r="S716" s="14"/>
    </row>
    <row r="717" spans="2:19" ht="12.95" hidden="1" customHeight="1" x14ac:dyDescent="0.25">
      <c r="B717" s="16">
        <v>43062.125</v>
      </c>
      <c r="C717" s="50" t="s">
        <v>690</v>
      </c>
      <c r="D717" s="34"/>
      <c r="E717" s="76">
        <v>2000000</v>
      </c>
      <c r="F717" s="37"/>
      <c r="G717" s="37">
        <f t="shared" si="115"/>
        <v>2000000</v>
      </c>
      <c r="H717" s="64">
        <v>0</v>
      </c>
      <c r="I717" s="64">
        <v>0</v>
      </c>
      <c r="J717" s="64">
        <v>19320</v>
      </c>
      <c r="K717" s="18">
        <f t="shared" si="116"/>
        <v>1980680</v>
      </c>
      <c r="L717" s="19">
        <f t="shared" si="117"/>
        <v>4000000</v>
      </c>
      <c r="M717" s="20"/>
      <c r="N717" s="20"/>
      <c r="O717" s="84"/>
      <c r="P717" s="55"/>
      <c r="Q717" s="55"/>
      <c r="R717" s="14"/>
      <c r="S717" s="14"/>
    </row>
    <row r="718" spans="2:19" ht="12.95" hidden="1" customHeight="1" x14ac:dyDescent="0.25">
      <c r="B718" s="16">
        <v>43095.125</v>
      </c>
      <c r="C718" s="50" t="s">
        <v>691</v>
      </c>
      <c r="D718" s="34"/>
      <c r="E718" s="76">
        <v>2000000</v>
      </c>
      <c r="F718" s="37"/>
      <c r="G718" s="37">
        <f t="shared" si="115"/>
        <v>2000000</v>
      </c>
      <c r="H718" s="64"/>
      <c r="I718" s="64"/>
      <c r="J718" s="64">
        <v>19320</v>
      </c>
      <c r="K718" s="18">
        <f t="shared" si="116"/>
        <v>1980680</v>
      </c>
      <c r="L718" s="19">
        <f t="shared" si="117"/>
        <v>2000000</v>
      </c>
      <c r="M718" s="20"/>
      <c r="N718" s="20"/>
      <c r="O718" s="84"/>
      <c r="P718" s="55"/>
      <c r="Q718" s="55"/>
      <c r="R718" s="14"/>
      <c r="S718" s="14"/>
    </row>
    <row r="719" spans="2:19" ht="12.95" hidden="1" customHeight="1" x14ac:dyDescent="0.25">
      <c r="B719" s="16">
        <v>43097.125</v>
      </c>
      <c r="C719" s="50" t="s">
        <v>692</v>
      </c>
      <c r="D719" s="34"/>
      <c r="E719" s="76">
        <v>1133333</v>
      </c>
      <c r="F719" s="37"/>
      <c r="G719" s="37">
        <f t="shared" si="115"/>
        <v>1133333</v>
      </c>
      <c r="H719" s="64"/>
      <c r="I719" s="64"/>
      <c r="J719" s="64">
        <v>9699.93</v>
      </c>
      <c r="K719" s="18">
        <f t="shared" si="116"/>
        <v>1123633.07</v>
      </c>
      <c r="L719" s="19">
        <f t="shared" si="117"/>
        <v>866667</v>
      </c>
      <c r="M719" s="20"/>
      <c r="N719" s="20"/>
      <c r="O719" s="84"/>
      <c r="P719" s="55"/>
      <c r="Q719" s="55"/>
      <c r="R719" s="14"/>
      <c r="S719" s="14"/>
    </row>
    <row r="720" spans="2:19" ht="12.95" hidden="1" customHeight="1" x14ac:dyDescent="0.25">
      <c r="B720" s="9" t="s">
        <v>693</v>
      </c>
      <c r="C720" s="10"/>
      <c r="D720" s="10">
        <v>113000000</v>
      </c>
      <c r="E720" s="11">
        <f>+D720</f>
        <v>113000000</v>
      </c>
      <c r="F720" s="11"/>
      <c r="G720" s="11"/>
      <c r="H720" s="11"/>
      <c r="I720" s="11"/>
      <c r="J720" s="11"/>
      <c r="K720" s="11"/>
      <c r="L720" s="11">
        <f>+D720</f>
        <v>113000000</v>
      </c>
      <c r="M720" s="12"/>
      <c r="N720" s="12"/>
      <c r="P720" s="55"/>
      <c r="Q720" s="55"/>
      <c r="R720" s="14"/>
      <c r="S720" s="14"/>
    </row>
    <row r="721" spans="2:19" ht="12.95" hidden="1" customHeight="1" x14ac:dyDescent="0.25">
      <c r="B721" s="16">
        <v>42823</v>
      </c>
      <c r="C721" s="50" t="s">
        <v>694</v>
      </c>
      <c r="D721" s="34"/>
      <c r="E721" s="49">
        <v>8000000</v>
      </c>
      <c r="F721" s="18"/>
      <c r="G721" s="49">
        <f t="shared" ref="G721:G738" si="118">+E721</f>
        <v>8000000</v>
      </c>
      <c r="H721" s="37"/>
      <c r="I721" s="24">
        <v>405004.99</v>
      </c>
      <c r="J721" s="49">
        <v>73416</v>
      </c>
      <c r="K721" s="18">
        <f t="shared" ref="K721:K738" si="119">+G721-H721-I721-J721</f>
        <v>7521579.0099999998</v>
      </c>
      <c r="L721" s="19">
        <f t="shared" ref="L721:L738" si="120">+L720-G721</f>
        <v>105000000</v>
      </c>
      <c r="M721" s="20"/>
      <c r="N721" s="20"/>
      <c r="P721" s="55"/>
      <c r="Q721" s="55"/>
      <c r="R721" s="14"/>
      <c r="S721" s="14"/>
    </row>
    <row r="722" spans="2:19" ht="12.95" hidden="1" customHeight="1" x14ac:dyDescent="0.25">
      <c r="B722" s="16">
        <v>42850</v>
      </c>
      <c r="C722" s="50" t="s">
        <v>695</v>
      </c>
      <c r="D722" s="34"/>
      <c r="E722" s="49">
        <v>8000000</v>
      </c>
      <c r="F722" s="18"/>
      <c r="G722" s="49">
        <f t="shared" si="118"/>
        <v>8000000</v>
      </c>
      <c r="H722" s="64"/>
      <c r="I722" s="64">
        <v>573004.98</v>
      </c>
      <c r="J722" s="64">
        <v>73416</v>
      </c>
      <c r="K722" s="18">
        <f t="shared" si="119"/>
        <v>7353579.0199999996</v>
      </c>
      <c r="L722" s="19">
        <f t="shared" si="120"/>
        <v>97000000</v>
      </c>
      <c r="M722" s="20"/>
      <c r="N722" s="20"/>
      <c r="P722" s="55"/>
      <c r="Q722" s="55"/>
      <c r="R722" s="14"/>
      <c r="S722" s="14"/>
    </row>
    <row r="723" spans="2:19" ht="12.95" hidden="1" customHeight="1" x14ac:dyDescent="0.25">
      <c r="B723" s="16">
        <v>42909</v>
      </c>
      <c r="C723" s="50" t="s">
        <v>696</v>
      </c>
      <c r="D723" s="34"/>
      <c r="E723" s="49">
        <v>8000000</v>
      </c>
      <c r="F723" s="18"/>
      <c r="G723" s="49">
        <f t="shared" si="118"/>
        <v>8000000</v>
      </c>
      <c r="H723" s="64"/>
      <c r="I723" s="64">
        <v>573004.98</v>
      </c>
      <c r="J723" s="64">
        <v>73416</v>
      </c>
      <c r="K723" s="18">
        <f t="shared" si="119"/>
        <v>7353579.0199999996</v>
      </c>
      <c r="L723" s="19">
        <f t="shared" si="120"/>
        <v>89000000</v>
      </c>
      <c r="M723" s="20"/>
      <c r="N723" s="20"/>
      <c r="P723" s="55"/>
      <c r="Q723" s="55"/>
      <c r="R723" s="14"/>
      <c r="S723" s="14"/>
    </row>
    <row r="724" spans="2:19" ht="12.95" hidden="1" customHeight="1" x14ac:dyDescent="0.25">
      <c r="B724" s="16">
        <v>42915</v>
      </c>
      <c r="C724" s="50" t="s">
        <v>697</v>
      </c>
      <c r="D724" s="34"/>
      <c r="E724" s="49">
        <v>8000000</v>
      </c>
      <c r="F724" s="18"/>
      <c r="G724" s="49">
        <f t="shared" si="118"/>
        <v>8000000</v>
      </c>
      <c r="H724" s="64"/>
      <c r="I724" s="64">
        <v>405004.99</v>
      </c>
      <c r="J724" s="64">
        <v>73416</v>
      </c>
      <c r="K724" s="18">
        <f t="shared" si="119"/>
        <v>7521579.0099999998</v>
      </c>
      <c r="L724" s="19">
        <f t="shared" si="120"/>
        <v>81000000</v>
      </c>
      <c r="M724" s="20"/>
      <c r="N724" s="20"/>
      <c r="P724" s="55"/>
      <c r="Q724" s="55"/>
      <c r="R724" s="14"/>
      <c r="S724" s="14"/>
    </row>
    <row r="725" spans="2:19" ht="12.95" hidden="1" customHeight="1" x14ac:dyDescent="0.25">
      <c r="B725" s="16">
        <v>42947</v>
      </c>
      <c r="C725" s="50" t="s">
        <v>698</v>
      </c>
      <c r="D725" s="34"/>
      <c r="E725" s="49">
        <v>8000000</v>
      </c>
      <c r="F725" s="18"/>
      <c r="G725" s="49">
        <f t="shared" si="118"/>
        <v>8000000</v>
      </c>
      <c r="H725" s="64"/>
      <c r="I725" s="64">
        <v>573004.98</v>
      </c>
      <c r="J725" s="64">
        <v>73416</v>
      </c>
      <c r="K725" s="18">
        <f t="shared" si="119"/>
        <v>7353579.0199999996</v>
      </c>
      <c r="L725" s="19">
        <f t="shared" si="120"/>
        <v>73000000</v>
      </c>
      <c r="M725" s="20"/>
      <c r="N725" s="20"/>
      <c r="P725" s="55"/>
      <c r="Q725" s="55"/>
      <c r="R725" s="14"/>
      <c r="S725" s="14"/>
    </row>
    <row r="726" spans="2:19" ht="12.95" hidden="1" customHeight="1" x14ac:dyDescent="0.25">
      <c r="B726" s="16">
        <v>42993</v>
      </c>
      <c r="C726" s="50" t="s">
        <v>699</v>
      </c>
      <c r="D726" s="34"/>
      <c r="E726" s="49">
        <v>8000000</v>
      </c>
      <c r="F726" s="18"/>
      <c r="G726" s="49">
        <f t="shared" si="118"/>
        <v>8000000</v>
      </c>
      <c r="H726" s="64"/>
      <c r="I726" s="64">
        <v>573004.98</v>
      </c>
      <c r="J726" s="64">
        <v>73416</v>
      </c>
      <c r="K726" s="18">
        <f t="shared" si="119"/>
        <v>7353579.0199999996</v>
      </c>
      <c r="L726" s="19">
        <f t="shared" si="120"/>
        <v>65000000</v>
      </c>
      <c r="M726" s="20"/>
      <c r="N726" s="20"/>
      <c r="P726" s="55"/>
      <c r="Q726" s="55"/>
      <c r="R726" s="14"/>
      <c r="S726" s="14"/>
    </row>
    <row r="727" spans="2:19" ht="12.95" hidden="1" customHeight="1" x14ac:dyDescent="0.25">
      <c r="B727" s="16">
        <v>42993</v>
      </c>
      <c r="C727" s="50" t="s">
        <v>700</v>
      </c>
      <c r="D727" s="34"/>
      <c r="E727" s="49">
        <v>446470</v>
      </c>
      <c r="F727" s="18"/>
      <c r="G727" s="49">
        <f t="shared" si="118"/>
        <v>446470</v>
      </c>
      <c r="H727" s="64"/>
      <c r="I727" s="64"/>
      <c r="J727" s="64"/>
      <c r="K727" s="18">
        <f t="shared" si="119"/>
        <v>446470</v>
      </c>
      <c r="L727" s="19">
        <f t="shared" si="120"/>
        <v>64553530</v>
      </c>
      <c r="M727" s="20"/>
      <c r="N727" s="20"/>
      <c r="P727" s="55"/>
      <c r="Q727" s="55"/>
      <c r="R727" s="14"/>
      <c r="S727" s="14"/>
    </row>
    <row r="728" spans="2:19" ht="12.95" hidden="1" customHeight="1" x14ac:dyDescent="0.25">
      <c r="B728" s="16">
        <v>42993</v>
      </c>
      <c r="C728" s="50" t="s">
        <v>701</v>
      </c>
      <c r="D728" s="34"/>
      <c r="E728" s="49">
        <v>1575025</v>
      </c>
      <c r="F728" s="18"/>
      <c r="G728" s="49">
        <f t="shared" si="118"/>
        <v>1575025</v>
      </c>
      <c r="H728" s="64"/>
      <c r="I728" s="64"/>
      <c r="J728" s="64"/>
      <c r="K728" s="18">
        <f t="shared" si="119"/>
        <v>1575025</v>
      </c>
      <c r="L728" s="19">
        <f t="shared" si="120"/>
        <v>62978505</v>
      </c>
      <c r="M728" s="20"/>
      <c r="N728" s="20"/>
      <c r="P728" s="55"/>
      <c r="Q728" s="55"/>
      <c r="R728" s="14"/>
      <c r="S728" s="14"/>
    </row>
    <row r="729" spans="2:19" ht="12.95" hidden="1" customHeight="1" x14ac:dyDescent="0.25">
      <c r="B729" s="16">
        <v>43010</v>
      </c>
      <c r="C729" s="50" t="s">
        <v>702</v>
      </c>
      <c r="D729" s="34"/>
      <c r="E729" s="49">
        <v>8000000</v>
      </c>
      <c r="F729" s="18"/>
      <c r="G729" s="49">
        <f t="shared" si="118"/>
        <v>8000000</v>
      </c>
      <c r="H729" s="64">
        <v>0</v>
      </c>
      <c r="I729" s="64">
        <v>573004.98</v>
      </c>
      <c r="J729" s="64">
        <v>73416</v>
      </c>
      <c r="K729" s="18">
        <f t="shared" si="119"/>
        <v>7353579.0199999996</v>
      </c>
      <c r="L729" s="19">
        <f t="shared" si="120"/>
        <v>54978505</v>
      </c>
      <c r="M729" s="20"/>
      <c r="N729" s="20"/>
      <c r="P729" s="55"/>
      <c r="Q729" s="55"/>
      <c r="R729" s="14"/>
      <c r="S729" s="14"/>
    </row>
    <row r="730" spans="2:19" ht="12.95" hidden="1" customHeight="1" x14ac:dyDescent="0.25">
      <c r="B730" s="16">
        <v>43035</v>
      </c>
      <c r="C730" s="50" t="s">
        <v>703</v>
      </c>
      <c r="D730" s="34"/>
      <c r="E730" s="49">
        <v>8000000</v>
      </c>
      <c r="F730" s="18"/>
      <c r="G730" s="49">
        <f t="shared" si="118"/>
        <v>8000000</v>
      </c>
      <c r="H730" s="64">
        <v>0</v>
      </c>
      <c r="I730" s="64">
        <v>573004.98</v>
      </c>
      <c r="J730" s="64">
        <v>73416</v>
      </c>
      <c r="K730" s="18">
        <f t="shared" si="119"/>
        <v>7353579.0199999996</v>
      </c>
      <c r="L730" s="19">
        <f t="shared" si="120"/>
        <v>46978505</v>
      </c>
      <c r="M730" s="20"/>
      <c r="N730" s="20"/>
      <c r="P730" s="55"/>
      <c r="Q730" s="55"/>
      <c r="R730" s="14"/>
      <c r="S730" s="14"/>
    </row>
    <row r="731" spans="2:19" ht="12.95" hidden="1" customHeight="1" x14ac:dyDescent="0.25">
      <c r="B731" s="16">
        <v>43110.125</v>
      </c>
      <c r="C731" s="50" t="s">
        <v>704</v>
      </c>
      <c r="D731" s="34"/>
      <c r="E731" s="49">
        <v>5300975</v>
      </c>
      <c r="F731" s="18"/>
      <c r="G731" s="49">
        <f t="shared" si="118"/>
        <v>5300975</v>
      </c>
      <c r="H731" s="64">
        <v>0</v>
      </c>
      <c r="I731" s="64">
        <v>0</v>
      </c>
      <c r="J731" s="64">
        <v>0</v>
      </c>
      <c r="K731" s="18">
        <f t="shared" si="119"/>
        <v>5300975</v>
      </c>
      <c r="L731" s="19">
        <f t="shared" si="120"/>
        <v>41677530</v>
      </c>
      <c r="M731" s="20"/>
      <c r="N731" s="20"/>
      <c r="P731" s="55"/>
      <c r="Q731" s="55"/>
      <c r="R731" s="14"/>
      <c r="S731" s="14"/>
    </row>
    <row r="732" spans="2:19" ht="12.95" hidden="1" customHeight="1" x14ac:dyDescent="0.25">
      <c r="B732" s="16">
        <v>43110.125</v>
      </c>
      <c r="C732" s="50" t="s">
        <v>705</v>
      </c>
      <c r="D732" s="34"/>
      <c r="E732" s="49">
        <v>2663967</v>
      </c>
      <c r="F732" s="18"/>
      <c r="G732" s="49">
        <f t="shared" si="118"/>
        <v>2663967</v>
      </c>
      <c r="H732" s="64">
        <v>0</v>
      </c>
      <c r="I732" s="64">
        <v>0</v>
      </c>
      <c r="J732" s="64">
        <v>0</v>
      </c>
      <c r="K732" s="18">
        <f t="shared" si="119"/>
        <v>2663967</v>
      </c>
      <c r="L732" s="19">
        <f t="shared" si="120"/>
        <v>39013563</v>
      </c>
      <c r="M732" s="20"/>
      <c r="N732" s="20"/>
      <c r="P732" s="55"/>
      <c r="Q732" s="55"/>
      <c r="R732" s="14"/>
      <c r="S732" s="14"/>
    </row>
    <row r="733" spans="2:19" ht="12.95" hidden="1" customHeight="1" x14ac:dyDescent="0.25">
      <c r="B733" s="16">
        <v>43110.125</v>
      </c>
      <c r="C733" s="50" t="s">
        <v>706</v>
      </c>
      <c r="D733" s="34"/>
      <c r="E733" s="49">
        <v>11732674</v>
      </c>
      <c r="F733" s="18"/>
      <c r="G733" s="49">
        <f t="shared" si="118"/>
        <v>11732674</v>
      </c>
      <c r="H733" s="64">
        <v>0</v>
      </c>
      <c r="I733" s="64">
        <v>0</v>
      </c>
      <c r="J733" s="64">
        <v>0</v>
      </c>
      <c r="K733" s="18">
        <f t="shared" si="119"/>
        <v>11732674</v>
      </c>
      <c r="L733" s="19">
        <f t="shared" si="120"/>
        <v>27280889</v>
      </c>
      <c r="M733" s="20"/>
      <c r="N733" s="20"/>
      <c r="P733" s="55"/>
      <c r="Q733" s="55"/>
      <c r="R733" s="14"/>
      <c r="S733" s="14"/>
    </row>
    <row r="734" spans="2:19" ht="12.95" hidden="1" customHeight="1" x14ac:dyDescent="0.25">
      <c r="B734" s="16">
        <v>43110.125</v>
      </c>
      <c r="C734" s="50" t="s">
        <v>707</v>
      </c>
      <c r="D734" s="34"/>
      <c r="E734" s="49">
        <v>8000000</v>
      </c>
      <c r="F734" s="18"/>
      <c r="G734" s="49">
        <f t="shared" si="118"/>
        <v>8000000</v>
      </c>
      <c r="H734" s="64">
        <v>0</v>
      </c>
      <c r="I734" s="64">
        <v>531500.99</v>
      </c>
      <c r="J734" s="64">
        <v>73416</v>
      </c>
      <c r="K734" s="18">
        <f t="shared" si="119"/>
        <v>7395083.0099999998</v>
      </c>
      <c r="L734" s="19">
        <f t="shared" si="120"/>
        <v>19280889</v>
      </c>
      <c r="M734" s="20"/>
      <c r="N734" s="20"/>
      <c r="P734" s="55"/>
      <c r="Q734" s="55"/>
      <c r="R734" s="14"/>
      <c r="S734" s="14"/>
    </row>
    <row r="735" spans="2:19" ht="12.95" hidden="1" customHeight="1" x14ac:dyDescent="0.25">
      <c r="B735" s="16">
        <v>43110.125</v>
      </c>
      <c r="C735" s="50" t="s">
        <v>708</v>
      </c>
      <c r="D735" s="34"/>
      <c r="E735" s="49">
        <v>3280889</v>
      </c>
      <c r="F735" s="18"/>
      <c r="G735" s="49">
        <f t="shared" si="118"/>
        <v>3280889</v>
      </c>
      <c r="H735" s="64">
        <v>0</v>
      </c>
      <c r="I735" s="64">
        <v>0</v>
      </c>
      <c r="J735" s="64">
        <v>0</v>
      </c>
      <c r="K735" s="18">
        <f t="shared" si="119"/>
        <v>3280889</v>
      </c>
      <c r="L735" s="19">
        <f t="shared" si="120"/>
        <v>16000000</v>
      </c>
      <c r="M735" s="20"/>
      <c r="N735" s="20"/>
      <c r="P735" s="55"/>
      <c r="Q735" s="55"/>
      <c r="R735" s="14"/>
      <c r="S735" s="14"/>
    </row>
    <row r="736" spans="2:19" ht="12.95" hidden="1" customHeight="1" x14ac:dyDescent="0.25">
      <c r="B736" s="16">
        <v>43115.125</v>
      </c>
      <c r="C736" s="50" t="s">
        <v>709</v>
      </c>
      <c r="D736" s="34"/>
      <c r="E736" s="49">
        <v>8000000</v>
      </c>
      <c r="F736" s="18"/>
      <c r="G736" s="49">
        <f t="shared" si="118"/>
        <v>8000000</v>
      </c>
      <c r="H736" s="64">
        <v>0</v>
      </c>
      <c r="I736" s="64">
        <v>531500.99</v>
      </c>
      <c r="J736" s="64">
        <v>73416</v>
      </c>
      <c r="K736" s="18">
        <f t="shared" si="119"/>
        <v>7395083.0099999998</v>
      </c>
      <c r="L736" s="19">
        <f t="shared" si="120"/>
        <v>8000000</v>
      </c>
      <c r="M736" s="20"/>
      <c r="N736" s="20"/>
      <c r="P736" s="55"/>
      <c r="Q736" s="55"/>
      <c r="R736" s="14"/>
      <c r="S736" s="14"/>
    </row>
    <row r="737" spans="2:19" ht="12.95" hidden="1" customHeight="1" x14ac:dyDescent="0.25">
      <c r="B737" s="16">
        <v>43150.125</v>
      </c>
      <c r="C737" s="50" t="s">
        <v>710</v>
      </c>
      <c r="D737" s="34"/>
      <c r="E737" s="49">
        <v>5066667</v>
      </c>
      <c r="F737" s="18"/>
      <c r="G737" s="49">
        <f t="shared" si="118"/>
        <v>5066667</v>
      </c>
      <c r="H737" s="64"/>
      <c r="I737" s="64">
        <v>85054.49</v>
      </c>
      <c r="J737" s="64">
        <v>46496.800000000003</v>
      </c>
      <c r="K737" s="18">
        <f t="shared" si="119"/>
        <v>4935115.71</v>
      </c>
      <c r="L737" s="19">
        <f t="shared" si="120"/>
        <v>2933333</v>
      </c>
      <c r="M737" s="20"/>
      <c r="N737" s="20"/>
      <c r="P737" s="55"/>
      <c r="Q737" s="55"/>
      <c r="R737" s="14"/>
      <c r="S737" s="14"/>
    </row>
    <row r="738" spans="2:19" ht="12.95" hidden="1" customHeight="1" x14ac:dyDescent="0.25">
      <c r="B738" s="16">
        <v>43150.125</v>
      </c>
      <c r="C738" s="50" t="s">
        <v>24</v>
      </c>
      <c r="D738" s="34"/>
      <c r="E738" s="49">
        <v>2933333</v>
      </c>
      <c r="F738" s="18"/>
      <c r="G738" s="49">
        <f t="shared" si="118"/>
        <v>2933333</v>
      </c>
      <c r="H738" s="64">
        <v>0</v>
      </c>
      <c r="I738" s="64">
        <v>0</v>
      </c>
      <c r="J738" s="64">
        <v>0</v>
      </c>
      <c r="K738" s="18">
        <f t="shared" si="119"/>
        <v>2933333</v>
      </c>
      <c r="L738" s="19">
        <f t="shared" si="120"/>
        <v>0</v>
      </c>
      <c r="M738" s="20"/>
      <c r="N738" s="20"/>
      <c r="P738" s="55"/>
      <c r="Q738" s="55"/>
      <c r="R738" s="14"/>
      <c r="S738" s="14"/>
    </row>
    <row r="739" spans="2:19" ht="12.95" hidden="1" customHeight="1" x14ac:dyDescent="0.25">
      <c r="B739" s="9" t="s">
        <v>711</v>
      </c>
      <c r="C739" s="10"/>
      <c r="D739" s="11">
        <v>52170000</v>
      </c>
      <c r="E739" s="11">
        <f>+D739</f>
        <v>52170000</v>
      </c>
      <c r="F739" s="11"/>
      <c r="G739" s="11"/>
      <c r="H739" s="11"/>
      <c r="I739" s="11"/>
      <c r="J739" s="11"/>
      <c r="K739" s="11"/>
      <c r="L739" s="11">
        <f>+D739</f>
        <v>52170000</v>
      </c>
      <c r="M739" s="12"/>
      <c r="N739" s="12"/>
      <c r="P739" s="55"/>
      <c r="Q739" s="55"/>
      <c r="R739" s="14"/>
      <c r="S739" s="14"/>
    </row>
    <row r="740" spans="2:19" ht="12.95" hidden="1" customHeight="1" x14ac:dyDescent="0.25">
      <c r="B740" s="16">
        <v>42824</v>
      </c>
      <c r="C740" s="50" t="s">
        <v>712</v>
      </c>
      <c r="D740" s="34"/>
      <c r="E740" s="77">
        <v>4700000</v>
      </c>
      <c r="F740" s="18"/>
      <c r="G740" s="49">
        <f t="shared" ref="G740:G751" si="121">+E740</f>
        <v>4700000</v>
      </c>
      <c r="H740" s="64"/>
      <c r="I740" s="64">
        <v>16947.04</v>
      </c>
      <c r="J740" s="64">
        <v>40226.17</v>
      </c>
      <c r="K740" s="18">
        <f t="shared" ref="K740:K751" si="122">+G740-H740-I740-J740</f>
        <v>4642826.79</v>
      </c>
      <c r="L740" s="19">
        <f t="shared" ref="L740:L751" si="123">+L739-G740</f>
        <v>47470000</v>
      </c>
      <c r="M740" s="20"/>
      <c r="N740" s="20"/>
      <c r="P740" s="55"/>
      <c r="Q740" s="55"/>
      <c r="R740" s="14"/>
      <c r="S740" s="14"/>
    </row>
    <row r="741" spans="2:19" ht="12.95" hidden="1" customHeight="1" x14ac:dyDescent="0.25">
      <c r="B741" s="16">
        <v>42849</v>
      </c>
      <c r="C741" s="50" t="s">
        <v>713</v>
      </c>
      <c r="D741" s="34"/>
      <c r="E741" s="77">
        <v>4700000</v>
      </c>
      <c r="F741" s="18"/>
      <c r="G741" s="49">
        <f t="shared" si="121"/>
        <v>4700000</v>
      </c>
      <c r="H741" s="64"/>
      <c r="I741" s="64">
        <v>16932.8</v>
      </c>
      <c r="J741" s="64">
        <v>40226.17</v>
      </c>
      <c r="K741" s="18">
        <f t="shared" si="122"/>
        <v>4642841.03</v>
      </c>
      <c r="L741" s="19">
        <f t="shared" si="123"/>
        <v>42770000</v>
      </c>
      <c r="M741" s="20"/>
      <c r="N741" s="20"/>
      <c r="P741" s="55"/>
      <c r="Q741" s="55"/>
      <c r="R741" s="14"/>
      <c r="S741" s="14"/>
    </row>
    <row r="742" spans="2:19" ht="12.95" hidden="1" customHeight="1" x14ac:dyDescent="0.25">
      <c r="B742" s="16">
        <v>42909</v>
      </c>
      <c r="C742" s="50" t="s">
        <v>714</v>
      </c>
      <c r="D742" s="34"/>
      <c r="E742" s="77">
        <v>4700000</v>
      </c>
      <c r="F742" s="18"/>
      <c r="G742" s="49">
        <f t="shared" si="121"/>
        <v>4700000</v>
      </c>
      <c r="H742" s="64"/>
      <c r="I742" s="64">
        <v>16932.8</v>
      </c>
      <c r="J742" s="64">
        <v>40226.17</v>
      </c>
      <c r="K742" s="18">
        <f t="shared" si="122"/>
        <v>4642841.03</v>
      </c>
      <c r="L742" s="19">
        <f t="shared" si="123"/>
        <v>38070000</v>
      </c>
      <c r="M742" s="20"/>
      <c r="N742" s="20"/>
      <c r="P742" s="55"/>
      <c r="Q742" s="55"/>
      <c r="R742" s="14"/>
      <c r="S742" s="14"/>
    </row>
    <row r="743" spans="2:19" ht="12.95" hidden="1" customHeight="1" x14ac:dyDescent="0.25">
      <c r="B743" s="16">
        <v>42916</v>
      </c>
      <c r="C743" s="50" t="s">
        <v>715</v>
      </c>
      <c r="D743" s="34"/>
      <c r="E743" s="77">
        <v>4700000</v>
      </c>
      <c r="F743" s="18"/>
      <c r="G743" s="49">
        <f t="shared" si="121"/>
        <v>4700000</v>
      </c>
      <c r="H743" s="64"/>
      <c r="I743" s="64">
        <v>16932.8</v>
      </c>
      <c r="J743" s="64">
        <v>40226.17</v>
      </c>
      <c r="K743" s="18">
        <f t="shared" si="122"/>
        <v>4642841.03</v>
      </c>
      <c r="L743" s="19">
        <f t="shared" si="123"/>
        <v>33370000</v>
      </c>
      <c r="M743" s="20"/>
      <c r="N743" s="20"/>
      <c r="P743" s="55"/>
      <c r="Q743" s="55"/>
      <c r="R743" s="14"/>
      <c r="S743" s="14"/>
    </row>
    <row r="744" spans="2:19" ht="12.95" hidden="1" customHeight="1" x14ac:dyDescent="0.25">
      <c r="B744" s="16">
        <v>42956</v>
      </c>
      <c r="C744" s="50" t="s">
        <v>716</v>
      </c>
      <c r="D744" s="34"/>
      <c r="E744" s="77">
        <v>4700000</v>
      </c>
      <c r="F744" s="18"/>
      <c r="G744" s="49">
        <f t="shared" si="121"/>
        <v>4700000</v>
      </c>
      <c r="H744" s="64"/>
      <c r="I744" s="64">
        <v>16932.8</v>
      </c>
      <c r="J744" s="64">
        <v>40226.17</v>
      </c>
      <c r="K744" s="18">
        <f t="shared" si="122"/>
        <v>4642841.03</v>
      </c>
      <c r="L744" s="19">
        <f t="shared" si="123"/>
        <v>28670000</v>
      </c>
      <c r="M744" s="20"/>
      <c r="N744" s="20"/>
      <c r="P744" s="55"/>
      <c r="Q744" s="55"/>
      <c r="R744" s="14"/>
      <c r="S744" s="14"/>
    </row>
    <row r="745" spans="2:19" ht="12.95" hidden="1" customHeight="1" x14ac:dyDescent="0.25">
      <c r="B745" s="16">
        <v>42993</v>
      </c>
      <c r="C745" s="50" t="s">
        <v>717</v>
      </c>
      <c r="D745" s="34"/>
      <c r="E745" s="77">
        <v>4700000</v>
      </c>
      <c r="F745" s="18"/>
      <c r="G745" s="49">
        <f t="shared" si="121"/>
        <v>4700000</v>
      </c>
      <c r="H745" s="64"/>
      <c r="I745" s="64">
        <v>16932.8</v>
      </c>
      <c r="J745" s="64">
        <v>40226.17</v>
      </c>
      <c r="K745" s="18">
        <f t="shared" si="122"/>
        <v>4642841.03</v>
      </c>
      <c r="L745" s="19">
        <f t="shared" si="123"/>
        <v>23970000</v>
      </c>
      <c r="M745" s="20"/>
      <c r="N745" s="20"/>
      <c r="P745" s="55"/>
      <c r="Q745" s="55"/>
      <c r="R745" s="14"/>
      <c r="S745" s="14"/>
    </row>
    <row r="746" spans="2:19" ht="12.95" hidden="1" customHeight="1" x14ac:dyDescent="0.25">
      <c r="B746" s="16">
        <v>43032</v>
      </c>
      <c r="C746" s="50" t="s">
        <v>718</v>
      </c>
      <c r="D746" s="34"/>
      <c r="E746" s="77">
        <v>4700000</v>
      </c>
      <c r="F746" s="18"/>
      <c r="G746" s="49">
        <f t="shared" si="121"/>
        <v>4700000</v>
      </c>
      <c r="H746" s="64">
        <v>0</v>
      </c>
      <c r="I746" s="64">
        <v>16932.8</v>
      </c>
      <c r="J746" s="64">
        <v>40226.17</v>
      </c>
      <c r="K746" s="18">
        <f t="shared" si="122"/>
        <v>4642841.03</v>
      </c>
      <c r="L746" s="19">
        <f t="shared" si="123"/>
        <v>19270000</v>
      </c>
      <c r="M746" s="20"/>
      <c r="N746" s="20"/>
      <c r="P746" s="55"/>
      <c r="Q746" s="55"/>
      <c r="R746" s="14"/>
      <c r="S746" s="14"/>
    </row>
    <row r="747" spans="2:19" ht="12.95" hidden="1" customHeight="1" x14ac:dyDescent="0.25">
      <c r="B747" s="16">
        <v>43032</v>
      </c>
      <c r="C747" s="50" t="s">
        <v>719</v>
      </c>
      <c r="D747" s="34"/>
      <c r="E747" s="77">
        <v>4700000</v>
      </c>
      <c r="F747" s="18"/>
      <c r="G747" s="49">
        <f t="shared" si="121"/>
        <v>4700000</v>
      </c>
      <c r="H747" s="64">
        <v>0</v>
      </c>
      <c r="I747" s="64">
        <v>16932.8</v>
      </c>
      <c r="J747" s="64">
        <v>40226.17</v>
      </c>
      <c r="K747" s="18">
        <f t="shared" si="122"/>
        <v>4642841.03</v>
      </c>
      <c r="L747" s="19">
        <f t="shared" si="123"/>
        <v>14570000</v>
      </c>
      <c r="M747" s="20"/>
      <c r="N747" s="20"/>
      <c r="P747" s="55"/>
      <c r="Q747" s="55"/>
      <c r="R747" s="14"/>
      <c r="S747" s="14"/>
    </row>
    <row r="748" spans="2:19" ht="12.95" hidden="1" customHeight="1" x14ac:dyDescent="0.25">
      <c r="B748" s="16">
        <v>43095.125</v>
      </c>
      <c r="C748" s="50" t="s">
        <v>720</v>
      </c>
      <c r="D748" s="34"/>
      <c r="E748" s="77">
        <v>4700000</v>
      </c>
      <c r="F748" s="18"/>
      <c r="G748" s="49">
        <f t="shared" si="121"/>
        <v>4700000</v>
      </c>
      <c r="H748" s="64"/>
      <c r="I748" s="64">
        <v>16932.8</v>
      </c>
      <c r="J748" s="64">
        <v>40226.17</v>
      </c>
      <c r="K748" s="18">
        <f t="shared" si="122"/>
        <v>4642841.03</v>
      </c>
      <c r="L748" s="19">
        <f t="shared" si="123"/>
        <v>9870000</v>
      </c>
      <c r="M748" s="20"/>
      <c r="N748" s="20"/>
      <c r="P748" s="55"/>
      <c r="Q748" s="55"/>
      <c r="R748" s="14"/>
      <c r="S748" s="14"/>
    </row>
    <row r="749" spans="2:19" ht="12.95" hidden="1" customHeight="1" x14ac:dyDescent="0.25">
      <c r="B749" s="16">
        <v>43095.125</v>
      </c>
      <c r="C749" s="50" t="s">
        <v>721</v>
      </c>
      <c r="D749" s="34"/>
      <c r="E749" s="77">
        <v>4700000</v>
      </c>
      <c r="F749" s="18"/>
      <c r="G749" s="49">
        <f t="shared" si="121"/>
        <v>4700000</v>
      </c>
      <c r="H749" s="64"/>
      <c r="I749" s="64">
        <v>16932.8</v>
      </c>
      <c r="J749" s="64">
        <v>40226.17</v>
      </c>
      <c r="K749" s="18">
        <f t="shared" si="122"/>
        <v>4642841.03</v>
      </c>
      <c r="L749" s="19">
        <f t="shared" si="123"/>
        <v>5170000</v>
      </c>
      <c r="M749" s="20"/>
      <c r="N749" s="20"/>
      <c r="P749" s="55"/>
      <c r="Q749" s="55"/>
      <c r="R749" s="14"/>
      <c r="S749" s="14"/>
    </row>
    <row r="750" spans="2:19" ht="12.95" hidden="1" customHeight="1" x14ac:dyDescent="0.25">
      <c r="B750" s="16">
        <v>43159.125</v>
      </c>
      <c r="C750" s="50" t="s">
        <v>722</v>
      </c>
      <c r="D750" s="34"/>
      <c r="E750" s="77">
        <v>4700000</v>
      </c>
      <c r="F750" s="18"/>
      <c r="G750" s="49">
        <f t="shared" si="121"/>
        <v>4700000</v>
      </c>
      <c r="H750" s="64">
        <v>0</v>
      </c>
      <c r="I750" s="64">
        <v>0</v>
      </c>
      <c r="J750" s="64">
        <v>40226.17</v>
      </c>
      <c r="K750" s="18">
        <f t="shared" si="122"/>
        <v>4659773.83</v>
      </c>
      <c r="L750" s="19">
        <f t="shared" si="123"/>
        <v>470000</v>
      </c>
      <c r="M750" s="20"/>
      <c r="N750" s="20"/>
      <c r="P750" s="55"/>
      <c r="Q750" s="55"/>
      <c r="R750" s="14"/>
      <c r="S750" s="14"/>
    </row>
    <row r="751" spans="2:19" ht="12.95" hidden="1" customHeight="1" x14ac:dyDescent="0.25">
      <c r="B751" s="16">
        <v>43159.125</v>
      </c>
      <c r="C751" s="50" t="s">
        <v>24</v>
      </c>
      <c r="D751" s="34"/>
      <c r="E751" s="77">
        <v>470000</v>
      </c>
      <c r="F751" s="18"/>
      <c r="G751" s="49">
        <f t="shared" si="121"/>
        <v>470000</v>
      </c>
      <c r="H751" s="64">
        <v>0</v>
      </c>
      <c r="I751" s="64">
        <v>0</v>
      </c>
      <c r="J751" s="64">
        <v>0</v>
      </c>
      <c r="K751" s="18">
        <f t="shared" si="122"/>
        <v>470000</v>
      </c>
      <c r="L751" s="19">
        <f t="shared" si="123"/>
        <v>0</v>
      </c>
      <c r="M751" s="20"/>
      <c r="N751" s="20"/>
      <c r="P751" s="55"/>
      <c r="Q751" s="55"/>
      <c r="R751" s="14"/>
      <c r="S751" s="14"/>
    </row>
    <row r="752" spans="2:19" ht="12.95" hidden="1" customHeight="1" x14ac:dyDescent="0.25">
      <c r="B752" s="9" t="s">
        <v>723</v>
      </c>
      <c r="C752" s="10"/>
      <c r="D752" s="11">
        <v>568914176</v>
      </c>
      <c r="E752" s="11">
        <f>+D752</f>
        <v>568914176</v>
      </c>
      <c r="F752" s="11"/>
      <c r="G752" s="11"/>
      <c r="H752" s="11"/>
      <c r="I752" s="11"/>
      <c r="J752" s="11"/>
      <c r="K752" s="11"/>
      <c r="L752" s="11">
        <f>+D752</f>
        <v>568914176</v>
      </c>
      <c r="M752" s="12"/>
      <c r="N752" s="12"/>
      <c r="P752" s="55"/>
      <c r="Q752" s="55"/>
      <c r="R752" s="14"/>
      <c r="S752" s="14"/>
    </row>
    <row r="753" spans="2:19" ht="12.95" hidden="1" customHeight="1" x14ac:dyDescent="0.25">
      <c r="B753" s="16">
        <v>42851</v>
      </c>
      <c r="C753" s="50" t="s">
        <v>724</v>
      </c>
      <c r="D753" s="34"/>
      <c r="E753" s="77">
        <v>568914176</v>
      </c>
      <c r="F753" s="18"/>
      <c r="G753" s="49">
        <f>+E753</f>
        <v>568914176</v>
      </c>
      <c r="H753" s="64"/>
      <c r="I753" s="64"/>
      <c r="J753" s="64"/>
      <c r="K753" s="18">
        <f>+G753-H753-I753-J753</f>
        <v>568914176</v>
      </c>
      <c r="L753" s="19">
        <f>+L752-G753</f>
        <v>0</v>
      </c>
      <c r="M753" s="20"/>
      <c r="N753" s="20"/>
      <c r="P753" s="55"/>
      <c r="Q753" s="55"/>
      <c r="R753" s="14"/>
      <c r="S753" s="14"/>
    </row>
    <row r="754" spans="2:19" ht="12.95" hidden="1" customHeight="1" x14ac:dyDescent="0.25">
      <c r="B754" s="9" t="s">
        <v>725</v>
      </c>
      <c r="C754" s="10"/>
      <c r="D754" s="11">
        <v>19800000</v>
      </c>
      <c r="E754" s="11">
        <f>+D754</f>
        <v>19800000</v>
      </c>
      <c r="F754" s="11"/>
      <c r="G754" s="11"/>
      <c r="H754" s="11"/>
      <c r="I754" s="11"/>
      <c r="J754" s="11"/>
      <c r="K754" s="11"/>
      <c r="L754" s="11">
        <f>+D754</f>
        <v>19800000</v>
      </c>
      <c r="M754" s="12"/>
      <c r="N754" s="12"/>
      <c r="P754" s="55"/>
      <c r="Q754" s="55"/>
      <c r="R754" s="14"/>
      <c r="S754" s="14"/>
    </row>
    <row r="755" spans="2:19" ht="12.95" hidden="1" customHeight="1" x14ac:dyDescent="0.25">
      <c r="B755" s="16">
        <v>42851</v>
      </c>
      <c r="C755" s="50" t="s">
        <v>726</v>
      </c>
      <c r="D755" s="34"/>
      <c r="E755" s="77">
        <v>1800000</v>
      </c>
      <c r="F755" s="18"/>
      <c r="G755" s="49">
        <f t="shared" ref="G755:G766" si="124">+E755</f>
        <v>1800000</v>
      </c>
      <c r="H755" s="64"/>
      <c r="I755" s="64"/>
      <c r="J755" s="64">
        <v>17388</v>
      </c>
      <c r="K755" s="18">
        <f t="shared" ref="K755:K766" si="125">+G755-H755-I755-J755</f>
        <v>1782612</v>
      </c>
      <c r="L755" s="19">
        <f t="shared" ref="L755:L766" si="126">+L754-G755</f>
        <v>18000000</v>
      </c>
      <c r="M755" s="20"/>
      <c r="N755" s="20"/>
      <c r="P755" s="55"/>
      <c r="Q755" s="55"/>
      <c r="R755" s="14"/>
      <c r="S755" s="14"/>
    </row>
    <row r="756" spans="2:19" ht="12.95" hidden="1" customHeight="1" x14ac:dyDescent="0.25">
      <c r="B756" s="16">
        <v>42871</v>
      </c>
      <c r="C756" s="50" t="s">
        <v>727</v>
      </c>
      <c r="D756" s="34"/>
      <c r="E756" s="77">
        <v>1800000</v>
      </c>
      <c r="F756" s="18"/>
      <c r="G756" s="49">
        <f t="shared" si="124"/>
        <v>1800000</v>
      </c>
      <c r="H756" s="64"/>
      <c r="I756" s="64"/>
      <c r="J756" s="64">
        <v>17388</v>
      </c>
      <c r="K756" s="18">
        <f t="shared" si="125"/>
        <v>1782612</v>
      </c>
      <c r="L756" s="19">
        <f t="shared" si="126"/>
        <v>16200000</v>
      </c>
      <c r="M756" s="20"/>
      <c r="N756" s="20"/>
      <c r="P756" s="55"/>
      <c r="Q756" s="55"/>
      <c r="R756" s="14"/>
      <c r="S756" s="14"/>
    </row>
    <row r="757" spans="2:19" ht="12.95" hidden="1" customHeight="1" x14ac:dyDescent="0.25">
      <c r="B757" s="16">
        <v>42908</v>
      </c>
      <c r="C757" s="50" t="s">
        <v>728</v>
      </c>
      <c r="D757" s="34"/>
      <c r="E757" s="77">
        <v>1800000</v>
      </c>
      <c r="F757" s="18"/>
      <c r="G757" s="49">
        <f t="shared" si="124"/>
        <v>1800000</v>
      </c>
      <c r="H757" s="64"/>
      <c r="I757" s="64"/>
      <c r="J757" s="64">
        <v>17388</v>
      </c>
      <c r="K757" s="18">
        <f t="shared" si="125"/>
        <v>1782612</v>
      </c>
      <c r="L757" s="19">
        <f t="shared" si="126"/>
        <v>14400000</v>
      </c>
      <c r="M757" s="20"/>
      <c r="N757" s="20"/>
      <c r="P757" s="55"/>
      <c r="Q757" s="55"/>
      <c r="R757" s="14"/>
      <c r="S757" s="14"/>
    </row>
    <row r="758" spans="2:19" ht="12.95" hidden="1" customHeight="1" x14ac:dyDescent="0.25">
      <c r="B758" s="16">
        <v>42916</v>
      </c>
      <c r="C758" s="50" t="s">
        <v>729</v>
      </c>
      <c r="D758" s="34"/>
      <c r="E758" s="77">
        <v>1800000</v>
      </c>
      <c r="F758" s="18"/>
      <c r="G758" s="49">
        <f t="shared" si="124"/>
        <v>1800000</v>
      </c>
      <c r="H758" s="64"/>
      <c r="I758" s="64"/>
      <c r="J758" s="64">
        <v>17388</v>
      </c>
      <c r="K758" s="18">
        <f t="shared" si="125"/>
        <v>1782612</v>
      </c>
      <c r="L758" s="19">
        <f t="shared" si="126"/>
        <v>12600000</v>
      </c>
      <c r="M758" s="20"/>
      <c r="N758" s="20"/>
      <c r="P758" s="55"/>
      <c r="Q758" s="55"/>
      <c r="R758" s="14"/>
      <c r="S758" s="14"/>
    </row>
    <row r="759" spans="2:19" ht="12.95" hidden="1" customHeight="1" x14ac:dyDescent="0.25">
      <c r="B759" s="16">
        <v>42957</v>
      </c>
      <c r="C759" s="50" t="s">
        <v>730</v>
      </c>
      <c r="D759" s="34"/>
      <c r="E759" s="77">
        <v>1800000</v>
      </c>
      <c r="F759" s="18"/>
      <c r="G759" s="49">
        <f t="shared" si="124"/>
        <v>1800000</v>
      </c>
      <c r="H759" s="64"/>
      <c r="I759" s="64"/>
      <c r="J759" s="64">
        <v>17388</v>
      </c>
      <c r="K759" s="18">
        <f t="shared" si="125"/>
        <v>1782612</v>
      </c>
      <c r="L759" s="19">
        <f t="shared" si="126"/>
        <v>10800000</v>
      </c>
      <c r="M759" s="20"/>
      <c r="N759" s="20"/>
      <c r="P759" s="55"/>
      <c r="Q759" s="55"/>
      <c r="R759" s="14"/>
      <c r="S759" s="14"/>
    </row>
    <row r="760" spans="2:19" ht="12.95" hidden="1" customHeight="1" x14ac:dyDescent="0.25">
      <c r="B760" s="16">
        <v>43010</v>
      </c>
      <c r="C760" s="50" t="s">
        <v>731</v>
      </c>
      <c r="D760" s="34"/>
      <c r="E760" s="77">
        <v>1800000</v>
      </c>
      <c r="F760" s="18"/>
      <c r="G760" s="49">
        <f t="shared" si="124"/>
        <v>1800000</v>
      </c>
      <c r="H760" s="64">
        <v>0</v>
      </c>
      <c r="I760" s="64">
        <v>0</v>
      </c>
      <c r="J760" s="64">
        <v>17388</v>
      </c>
      <c r="K760" s="18">
        <f t="shared" si="125"/>
        <v>1782612</v>
      </c>
      <c r="L760" s="19">
        <f t="shared" si="126"/>
        <v>9000000</v>
      </c>
      <c r="M760" s="20"/>
      <c r="N760" s="20"/>
      <c r="P760" s="55"/>
      <c r="Q760" s="55"/>
      <c r="R760" s="14"/>
      <c r="S760" s="14"/>
    </row>
    <row r="761" spans="2:19" ht="12.95" hidden="1" customHeight="1" x14ac:dyDescent="0.25">
      <c r="B761" s="16">
        <v>43031</v>
      </c>
      <c r="C761" s="50" t="s">
        <v>732</v>
      </c>
      <c r="D761" s="34"/>
      <c r="E761" s="77">
        <v>1800000</v>
      </c>
      <c r="F761" s="18"/>
      <c r="G761" s="49">
        <f t="shared" si="124"/>
        <v>1800000</v>
      </c>
      <c r="H761" s="64">
        <v>0</v>
      </c>
      <c r="I761" s="64">
        <v>0</v>
      </c>
      <c r="J761" s="64">
        <v>17388</v>
      </c>
      <c r="K761" s="18">
        <f t="shared" si="125"/>
        <v>1782612</v>
      </c>
      <c r="L761" s="19">
        <f t="shared" si="126"/>
        <v>7200000</v>
      </c>
      <c r="M761" s="20"/>
      <c r="N761" s="20"/>
      <c r="P761" s="55"/>
      <c r="Q761" s="55"/>
      <c r="R761" s="14"/>
      <c r="S761" s="14"/>
    </row>
    <row r="762" spans="2:19" ht="12.95" hidden="1" customHeight="1" x14ac:dyDescent="0.25">
      <c r="B762" s="16">
        <v>43068.125</v>
      </c>
      <c r="C762" s="50" t="s">
        <v>733</v>
      </c>
      <c r="D762" s="34"/>
      <c r="E762" s="77">
        <v>1800000</v>
      </c>
      <c r="F762" s="18"/>
      <c r="G762" s="49">
        <f t="shared" si="124"/>
        <v>1800000</v>
      </c>
      <c r="H762" s="64">
        <v>0</v>
      </c>
      <c r="I762" s="64">
        <v>0</v>
      </c>
      <c r="J762" s="64">
        <v>17388</v>
      </c>
      <c r="K762" s="18">
        <f t="shared" si="125"/>
        <v>1782612</v>
      </c>
      <c r="L762" s="19">
        <f t="shared" si="126"/>
        <v>5400000</v>
      </c>
      <c r="M762" s="20"/>
      <c r="N762" s="20"/>
      <c r="P762" s="55"/>
      <c r="Q762" s="55"/>
      <c r="R762" s="14"/>
      <c r="S762" s="14"/>
    </row>
    <row r="763" spans="2:19" ht="12.95" hidden="1" customHeight="1" x14ac:dyDescent="0.25">
      <c r="B763" s="16">
        <v>43088.125</v>
      </c>
      <c r="C763" s="50" t="s">
        <v>734</v>
      </c>
      <c r="D763" s="34"/>
      <c r="E763" s="77">
        <v>1800000</v>
      </c>
      <c r="F763" s="18"/>
      <c r="G763" s="49">
        <f t="shared" si="124"/>
        <v>1800000</v>
      </c>
      <c r="H763" s="64"/>
      <c r="I763" s="64"/>
      <c r="J763" s="64">
        <v>17388</v>
      </c>
      <c r="K763" s="18">
        <f t="shared" si="125"/>
        <v>1782612</v>
      </c>
      <c r="L763" s="19">
        <f t="shared" si="126"/>
        <v>3600000</v>
      </c>
      <c r="M763" s="20"/>
      <c r="N763" s="20"/>
      <c r="P763" s="55"/>
      <c r="Q763" s="55"/>
      <c r="R763" s="14"/>
      <c r="S763" s="14"/>
    </row>
    <row r="764" spans="2:19" ht="12.95" hidden="1" customHeight="1" x14ac:dyDescent="0.25">
      <c r="B764" s="16">
        <v>43110.125</v>
      </c>
      <c r="C764" s="50" t="s">
        <v>735</v>
      </c>
      <c r="D764" s="34"/>
      <c r="E764" s="77">
        <v>1800000</v>
      </c>
      <c r="F764" s="18"/>
      <c r="G764" s="49">
        <f t="shared" si="124"/>
        <v>1800000</v>
      </c>
      <c r="H764" s="64">
        <v>0</v>
      </c>
      <c r="I764" s="64">
        <v>0</v>
      </c>
      <c r="J764" s="64">
        <v>17388</v>
      </c>
      <c r="K764" s="18">
        <f t="shared" si="125"/>
        <v>1782612</v>
      </c>
      <c r="L764" s="19">
        <f t="shared" si="126"/>
        <v>1800000</v>
      </c>
      <c r="M764" s="20"/>
      <c r="N764" s="20"/>
      <c r="P764" s="55"/>
      <c r="Q764" s="55"/>
      <c r="R764" s="14"/>
      <c r="S764" s="14"/>
    </row>
    <row r="765" spans="2:19" ht="12.95" hidden="1" customHeight="1" x14ac:dyDescent="0.25">
      <c r="B765" s="16">
        <v>43136.125</v>
      </c>
      <c r="C765" s="50" t="s">
        <v>736</v>
      </c>
      <c r="D765" s="34"/>
      <c r="E765" s="77">
        <v>480000</v>
      </c>
      <c r="F765" s="18"/>
      <c r="G765" s="49">
        <f t="shared" si="124"/>
        <v>480000</v>
      </c>
      <c r="H765" s="64"/>
      <c r="I765" s="64"/>
      <c r="J765" s="64">
        <v>4636.8</v>
      </c>
      <c r="K765" s="18">
        <f t="shared" si="125"/>
        <v>475363.2</v>
      </c>
      <c r="L765" s="19">
        <f t="shared" si="126"/>
        <v>1320000</v>
      </c>
      <c r="M765" s="20"/>
      <c r="N765" s="20"/>
      <c r="P765" s="55"/>
      <c r="Q765" s="55"/>
      <c r="R765" s="14"/>
      <c r="S765" s="14"/>
    </row>
    <row r="766" spans="2:19" ht="12.95" hidden="1" customHeight="1" x14ac:dyDescent="0.25">
      <c r="B766" s="16">
        <v>43136.125</v>
      </c>
      <c r="C766" s="50" t="s">
        <v>24</v>
      </c>
      <c r="D766" s="34"/>
      <c r="E766" s="77">
        <v>1320000</v>
      </c>
      <c r="F766" s="18"/>
      <c r="G766" s="49">
        <f t="shared" si="124"/>
        <v>1320000</v>
      </c>
      <c r="H766" s="64">
        <v>0</v>
      </c>
      <c r="I766" s="64">
        <v>0</v>
      </c>
      <c r="J766" s="64">
        <v>0</v>
      </c>
      <c r="K766" s="18">
        <f t="shared" si="125"/>
        <v>1320000</v>
      </c>
      <c r="L766" s="19">
        <f t="shared" si="126"/>
        <v>0</v>
      </c>
      <c r="M766" s="20"/>
      <c r="N766" s="20"/>
      <c r="P766" s="55"/>
      <c r="Q766" s="55"/>
      <c r="R766" s="14"/>
      <c r="S766" s="14"/>
    </row>
    <row r="767" spans="2:19" ht="12.95" hidden="1" customHeight="1" x14ac:dyDescent="0.25">
      <c r="B767" s="9" t="s">
        <v>737</v>
      </c>
      <c r="C767" s="10"/>
      <c r="D767" s="11">
        <v>1246227500</v>
      </c>
      <c r="E767" s="11">
        <f>+D767</f>
        <v>1246227500</v>
      </c>
      <c r="F767" s="11"/>
      <c r="G767" s="11"/>
      <c r="H767" s="11"/>
      <c r="I767" s="11"/>
      <c r="J767" s="11"/>
      <c r="K767" s="11"/>
      <c r="L767" s="11">
        <f>+D767</f>
        <v>1246227500</v>
      </c>
      <c r="M767" s="12"/>
      <c r="N767" s="12"/>
      <c r="P767" s="55"/>
      <c r="Q767" s="55"/>
      <c r="R767" s="14"/>
      <c r="S767" s="14"/>
    </row>
    <row r="768" spans="2:19" ht="12.95" hidden="1" customHeight="1" x14ac:dyDescent="0.25">
      <c r="B768" s="16">
        <v>42863</v>
      </c>
      <c r="C768" s="50" t="s">
        <v>738</v>
      </c>
      <c r="D768" s="34"/>
      <c r="E768" s="77">
        <v>498491000</v>
      </c>
      <c r="F768" s="18"/>
      <c r="G768" s="49">
        <f>+E768</f>
        <v>498491000</v>
      </c>
      <c r="H768" s="64">
        <v>11938650</v>
      </c>
      <c r="I768" s="64"/>
      <c r="J768" s="64">
        <v>4046574</v>
      </c>
      <c r="K768" s="18">
        <f>+G768-H768-I768-J768</f>
        <v>482505776</v>
      </c>
      <c r="L768" s="19">
        <f>+L767-G768</f>
        <v>747736500</v>
      </c>
      <c r="M768" s="20"/>
      <c r="N768" s="20"/>
      <c r="P768" s="55"/>
      <c r="Q768" s="55"/>
      <c r="R768" s="14"/>
      <c r="S768" s="14"/>
    </row>
    <row r="769" spans="2:19" ht="12.95" hidden="1" customHeight="1" x14ac:dyDescent="0.25">
      <c r="B769" s="16">
        <v>43020</v>
      </c>
      <c r="C769" s="50" t="s">
        <v>739</v>
      </c>
      <c r="D769" s="34"/>
      <c r="E769" s="77">
        <v>311556875</v>
      </c>
      <c r="F769" s="18"/>
      <c r="G769" s="49">
        <f>+E769</f>
        <v>311556875</v>
      </c>
      <c r="H769" s="64">
        <v>7461656.25</v>
      </c>
      <c r="I769" s="64">
        <v>0</v>
      </c>
      <c r="J769" s="64">
        <v>2529108.75</v>
      </c>
      <c r="K769" s="18">
        <f>+G769-H769-I769-J769</f>
        <v>301566110</v>
      </c>
      <c r="L769" s="19">
        <f>+L768-G769</f>
        <v>436179625</v>
      </c>
      <c r="M769" s="20"/>
      <c r="N769" s="20"/>
      <c r="P769" s="55"/>
      <c r="Q769" s="55"/>
      <c r="R769" s="14"/>
      <c r="S769" s="14"/>
    </row>
    <row r="770" spans="2:19" ht="12.95" hidden="1" customHeight="1" x14ac:dyDescent="0.25">
      <c r="B770" s="16">
        <v>43067.125</v>
      </c>
      <c r="C770" s="50" t="s">
        <v>740</v>
      </c>
      <c r="D770" s="34"/>
      <c r="E770" s="77">
        <v>311556875</v>
      </c>
      <c r="F770" s="18"/>
      <c r="G770" s="49">
        <f>+E770</f>
        <v>311556875</v>
      </c>
      <c r="H770" s="64">
        <v>7461656.25</v>
      </c>
      <c r="I770" s="64">
        <v>0</v>
      </c>
      <c r="J770" s="64">
        <v>2529108.75</v>
      </c>
      <c r="K770" s="18">
        <f>+G770-H770-I770-J770</f>
        <v>301566110</v>
      </c>
      <c r="L770" s="19">
        <f>+L769-G770</f>
        <v>124622750</v>
      </c>
      <c r="M770" s="20"/>
      <c r="N770" s="20"/>
      <c r="P770" s="55"/>
      <c r="Q770" s="55"/>
      <c r="R770" s="14"/>
      <c r="S770" s="14"/>
    </row>
    <row r="771" spans="2:19" ht="12.95" hidden="1" customHeight="1" x14ac:dyDescent="0.25">
      <c r="B771" s="16">
        <v>43105.125</v>
      </c>
      <c r="C771" s="50" t="s">
        <v>741</v>
      </c>
      <c r="D771" s="34"/>
      <c r="E771" s="77">
        <v>124622750</v>
      </c>
      <c r="F771" s="18"/>
      <c r="G771" s="49">
        <f>+E771</f>
        <v>124622750</v>
      </c>
      <c r="H771" s="64">
        <v>2984662.5</v>
      </c>
      <c r="I771" s="64">
        <v>0</v>
      </c>
      <c r="J771" s="64">
        <v>1011643.5</v>
      </c>
      <c r="K771" s="18">
        <f>+G771-H771-I771-J771</f>
        <v>120626444</v>
      </c>
      <c r="L771" s="19">
        <f>+L770-G771</f>
        <v>0</v>
      </c>
      <c r="M771" s="20"/>
      <c r="N771" s="20"/>
      <c r="P771" s="55"/>
      <c r="Q771" s="55"/>
      <c r="R771" s="14"/>
      <c r="S771" s="14"/>
    </row>
    <row r="772" spans="2:19" ht="12.95" hidden="1" customHeight="1" x14ac:dyDescent="0.25">
      <c r="B772" s="9" t="s">
        <v>742</v>
      </c>
      <c r="C772" s="10"/>
      <c r="D772" s="11">
        <v>800000000</v>
      </c>
      <c r="E772" s="11">
        <f>+D772</f>
        <v>800000000</v>
      </c>
      <c r="F772" s="11"/>
      <c r="G772" s="11"/>
      <c r="H772" s="11"/>
      <c r="I772" s="11"/>
      <c r="J772" s="11"/>
      <c r="K772" s="11"/>
      <c r="L772" s="11">
        <f>+D772</f>
        <v>800000000</v>
      </c>
      <c r="M772" s="12"/>
      <c r="N772" s="12"/>
      <c r="P772" s="55"/>
      <c r="Q772" s="55"/>
      <c r="R772" s="14"/>
      <c r="S772" s="14"/>
    </row>
    <row r="773" spans="2:19" ht="12.95" hidden="1" customHeight="1" x14ac:dyDescent="0.25">
      <c r="B773" s="16">
        <v>42870</v>
      </c>
      <c r="C773" s="50" t="s">
        <v>743</v>
      </c>
      <c r="D773" s="34"/>
      <c r="E773" s="77">
        <v>320000000</v>
      </c>
      <c r="F773" s="18"/>
      <c r="G773" s="49">
        <f>+E773</f>
        <v>320000000</v>
      </c>
      <c r="H773" s="64"/>
      <c r="I773" s="64"/>
      <c r="J773" s="64"/>
      <c r="K773" s="18">
        <f>+G773-H773-I773-J773</f>
        <v>320000000</v>
      </c>
      <c r="L773" s="19">
        <f>+L772-G773</f>
        <v>480000000</v>
      </c>
      <c r="M773" s="20"/>
      <c r="N773" s="20"/>
      <c r="P773" s="55"/>
      <c r="Q773" s="55"/>
      <c r="R773" s="14"/>
      <c r="S773" s="14"/>
    </row>
    <row r="774" spans="2:19" ht="12.95" hidden="1" customHeight="1" x14ac:dyDescent="0.25">
      <c r="B774" s="16">
        <v>42997</v>
      </c>
      <c r="C774" s="50" t="s">
        <v>744</v>
      </c>
      <c r="D774" s="34"/>
      <c r="E774" s="77">
        <v>400000000</v>
      </c>
      <c r="F774" s="18"/>
      <c r="G774" s="49">
        <f>+E774</f>
        <v>400000000</v>
      </c>
      <c r="H774" s="64"/>
      <c r="I774" s="64">
        <v>0</v>
      </c>
      <c r="J774" s="64">
        <v>0</v>
      </c>
      <c r="K774" s="18">
        <f>+G774-H774-I774-J774</f>
        <v>400000000</v>
      </c>
      <c r="L774" s="19">
        <f>+L773-G774</f>
        <v>80000000</v>
      </c>
      <c r="M774" s="20"/>
      <c r="N774" s="20"/>
      <c r="P774" s="55"/>
      <c r="Q774" s="55"/>
      <c r="R774" s="14"/>
      <c r="S774" s="14"/>
    </row>
    <row r="775" spans="2:19" ht="12.95" hidden="1" customHeight="1" x14ac:dyDescent="0.25">
      <c r="B775" s="16">
        <v>43060.125</v>
      </c>
      <c r="C775" s="50" t="s">
        <v>745</v>
      </c>
      <c r="D775" s="34"/>
      <c r="E775" s="77">
        <v>80000000</v>
      </c>
      <c r="F775" s="18"/>
      <c r="G775" s="49">
        <f>+E775</f>
        <v>80000000</v>
      </c>
      <c r="H775" s="64"/>
      <c r="I775" s="64">
        <v>0</v>
      </c>
      <c r="J775" s="64">
        <v>0</v>
      </c>
      <c r="K775" s="18">
        <f>+G775-H775-I775-J775</f>
        <v>80000000</v>
      </c>
      <c r="L775" s="19">
        <f>+L774-G775</f>
        <v>0</v>
      </c>
      <c r="M775" s="20"/>
      <c r="N775" s="20"/>
      <c r="P775" s="55"/>
      <c r="Q775" s="55"/>
      <c r="R775" s="14"/>
      <c r="S775" s="14"/>
    </row>
    <row r="776" spans="2:19" ht="12.95" hidden="1" customHeight="1" x14ac:dyDescent="0.25">
      <c r="B776" s="9" t="s">
        <v>746</v>
      </c>
      <c r="C776" s="10"/>
      <c r="D776" s="11">
        <v>50000000</v>
      </c>
      <c r="E776" s="11">
        <f>+D776</f>
        <v>50000000</v>
      </c>
      <c r="F776" s="11"/>
      <c r="G776" s="11"/>
      <c r="H776" s="11"/>
      <c r="I776" s="11"/>
      <c r="J776" s="11"/>
      <c r="K776" s="11"/>
      <c r="L776" s="11">
        <f>+D776</f>
        <v>50000000</v>
      </c>
      <c r="M776" s="12"/>
      <c r="N776" s="12"/>
      <c r="P776" s="55"/>
      <c r="Q776" s="55"/>
      <c r="R776" s="14"/>
      <c r="S776" s="14"/>
    </row>
    <row r="777" spans="2:19" ht="12.95" hidden="1" customHeight="1" x14ac:dyDescent="0.25">
      <c r="B777" s="16">
        <v>42863</v>
      </c>
      <c r="C777" s="50" t="s">
        <v>747</v>
      </c>
      <c r="D777" s="34"/>
      <c r="E777" s="77">
        <v>5000000</v>
      </c>
      <c r="F777" s="18"/>
      <c r="G777" s="49">
        <f t="shared" ref="G777:G787" si="127">+E777</f>
        <v>5000000</v>
      </c>
      <c r="H777" s="64"/>
      <c r="I777" s="64">
        <v>137445.04999999999</v>
      </c>
      <c r="J777" s="64">
        <v>48300</v>
      </c>
      <c r="K777" s="18">
        <f t="shared" ref="K777:K787" si="128">+G777-H777-I777-J777</f>
        <v>4814254.95</v>
      </c>
      <c r="L777" s="19">
        <f t="shared" ref="L777:L787" si="129">+L776-G777</f>
        <v>45000000</v>
      </c>
      <c r="M777" s="20"/>
      <c r="N777" s="20"/>
      <c r="P777" s="55"/>
      <c r="Q777" s="55"/>
      <c r="R777" s="14"/>
      <c r="S777" s="14"/>
    </row>
    <row r="778" spans="2:19" ht="12.95" hidden="1" customHeight="1" x14ac:dyDescent="0.25">
      <c r="B778" s="16">
        <v>42921</v>
      </c>
      <c r="C778" s="50" t="s">
        <v>748</v>
      </c>
      <c r="D778" s="34"/>
      <c r="E778" s="77">
        <v>5000000</v>
      </c>
      <c r="F778" s="18"/>
      <c r="G778" s="49">
        <f t="shared" si="127"/>
        <v>5000000</v>
      </c>
      <c r="H778" s="64"/>
      <c r="I778" s="64">
        <v>137445.04999999999</v>
      </c>
      <c r="J778" s="64">
        <v>48300</v>
      </c>
      <c r="K778" s="18">
        <f t="shared" si="128"/>
        <v>4814254.95</v>
      </c>
      <c r="L778" s="19">
        <f t="shared" si="129"/>
        <v>40000000</v>
      </c>
      <c r="M778" s="20"/>
      <c r="N778" s="20"/>
      <c r="P778" s="55"/>
      <c r="Q778" s="55"/>
      <c r="R778" s="14"/>
      <c r="S778" s="14"/>
    </row>
    <row r="779" spans="2:19" ht="12.95" hidden="1" customHeight="1" x14ac:dyDescent="0.25">
      <c r="B779" s="16">
        <v>42957</v>
      </c>
      <c r="C779" s="50" t="s">
        <v>749</v>
      </c>
      <c r="D779" s="34"/>
      <c r="E779" s="77">
        <v>5000000</v>
      </c>
      <c r="F779" s="18"/>
      <c r="G779" s="49">
        <f t="shared" si="127"/>
        <v>5000000</v>
      </c>
      <c r="H779" s="64"/>
      <c r="I779" s="64">
        <v>137445.04999999999</v>
      </c>
      <c r="J779" s="64">
        <v>48300</v>
      </c>
      <c r="K779" s="18">
        <f t="shared" si="128"/>
        <v>4814254.95</v>
      </c>
      <c r="L779" s="19">
        <f t="shared" si="129"/>
        <v>35000000</v>
      </c>
      <c r="M779" s="20"/>
      <c r="N779" s="20"/>
      <c r="P779" s="55"/>
      <c r="Q779" s="55"/>
      <c r="R779" s="14"/>
      <c r="S779" s="14"/>
    </row>
    <row r="780" spans="2:19" ht="12.95" hidden="1" customHeight="1" x14ac:dyDescent="0.25">
      <c r="B780" s="16">
        <v>42957</v>
      </c>
      <c r="C780" s="50" t="s">
        <v>750</v>
      </c>
      <c r="D780" s="34"/>
      <c r="E780" s="77">
        <v>5000000</v>
      </c>
      <c r="F780" s="18"/>
      <c r="G780" s="49">
        <f t="shared" si="127"/>
        <v>5000000</v>
      </c>
      <c r="H780" s="64"/>
      <c r="I780" s="64">
        <v>137445.04999999999</v>
      </c>
      <c r="J780" s="64">
        <v>48300</v>
      </c>
      <c r="K780" s="18">
        <f t="shared" si="128"/>
        <v>4814254.95</v>
      </c>
      <c r="L780" s="19">
        <f t="shared" si="129"/>
        <v>30000000</v>
      </c>
      <c r="M780" s="20"/>
      <c r="N780" s="20"/>
      <c r="P780" s="55"/>
      <c r="Q780" s="55"/>
      <c r="R780" s="14"/>
      <c r="S780" s="14"/>
    </row>
    <row r="781" spans="2:19" ht="12.95" hidden="1" customHeight="1" x14ac:dyDescent="0.25">
      <c r="B781" s="16">
        <v>42993</v>
      </c>
      <c r="C781" s="50" t="s">
        <v>751</v>
      </c>
      <c r="D781" s="34"/>
      <c r="E781" s="77">
        <v>5000000</v>
      </c>
      <c r="F781" s="18"/>
      <c r="G781" s="49">
        <f t="shared" si="127"/>
        <v>5000000</v>
      </c>
      <c r="H781" s="64"/>
      <c r="I781" s="64">
        <v>137445.04999999999</v>
      </c>
      <c r="J781" s="64">
        <v>48300</v>
      </c>
      <c r="K781" s="18">
        <f t="shared" si="128"/>
        <v>4814254.95</v>
      </c>
      <c r="L781" s="19">
        <f t="shared" si="129"/>
        <v>25000000</v>
      </c>
      <c r="M781" s="20"/>
      <c r="N781" s="20"/>
      <c r="P781" s="55"/>
      <c r="Q781" s="55"/>
      <c r="R781" s="14"/>
      <c r="S781" s="14"/>
    </row>
    <row r="782" spans="2:19" ht="12.95" hidden="1" customHeight="1" x14ac:dyDescent="0.25">
      <c r="B782" s="16">
        <v>43010</v>
      </c>
      <c r="C782" s="50" t="s">
        <v>752</v>
      </c>
      <c r="D782" s="34"/>
      <c r="E782" s="77">
        <v>5000000</v>
      </c>
      <c r="F782" s="18"/>
      <c r="G782" s="49">
        <f t="shared" si="127"/>
        <v>5000000</v>
      </c>
      <c r="H782" s="64">
        <v>0</v>
      </c>
      <c r="I782" s="64">
        <v>137445.04999999999</v>
      </c>
      <c r="J782" s="64">
        <v>48300</v>
      </c>
      <c r="K782" s="18">
        <f t="shared" si="128"/>
        <v>4814254.95</v>
      </c>
      <c r="L782" s="19">
        <f t="shared" si="129"/>
        <v>20000000</v>
      </c>
      <c r="M782" s="20"/>
      <c r="N782" s="20"/>
      <c r="P782" s="55"/>
      <c r="Q782" s="55"/>
      <c r="R782" s="14"/>
      <c r="S782" s="14"/>
    </row>
    <row r="783" spans="2:19" ht="12.95" hidden="1" customHeight="1" x14ac:dyDescent="0.25">
      <c r="B783" s="16">
        <v>43053</v>
      </c>
      <c r="C783" s="50" t="s">
        <v>753</v>
      </c>
      <c r="D783" s="34"/>
      <c r="E783" s="77">
        <v>5000000</v>
      </c>
      <c r="F783" s="18"/>
      <c r="G783" s="49">
        <f t="shared" si="127"/>
        <v>5000000</v>
      </c>
      <c r="H783" s="64">
        <v>0</v>
      </c>
      <c r="I783" s="64">
        <v>137445.04999999999</v>
      </c>
      <c r="J783" s="64">
        <v>48300</v>
      </c>
      <c r="K783" s="18">
        <f t="shared" si="128"/>
        <v>4814254.95</v>
      </c>
      <c r="L783" s="19">
        <f t="shared" si="129"/>
        <v>15000000</v>
      </c>
      <c r="M783" s="20"/>
      <c r="N783" s="20"/>
      <c r="P783" s="55"/>
      <c r="Q783" s="55"/>
      <c r="R783" s="14"/>
      <c r="S783" s="14"/>
    </row>
    <row r="784" spans="2:19" ht="12.95" hidden="1" customHeight="1" x14ac:dyDescent="0.25">
      <c r="B784" s="16">
        <v>43080.125</v>
      </c>
      <c r="C784" s="50" t="s">
        <v>754</v>
      </c>
      <c r="D784" s="34"/>
      <c r="E784" s="77">
        <v>5000000</v>
      </c>
      <c r="F784" s="18"/>
      <c r="G784" s="49">
        <f t="shared" si="127"/>
        <v>5000000</v>
      </c>
      <c r="H784" s="64"/>
      <c r="I784" s="64">
        <v>137445.04999999999</v>
      </c>
      <c r="J784" s="64">
        <v>48300</v>
      </c>
      <c r="K784" s="18">
        <f t="shared" si="128"/>
        <v>4814254.95</v>
      </c>
      <c r="L784" s="19">
        <f t="shared" si="129"/>
        <v>10000000</v>
      </c>
      <c r="M784" s="20"/>
      <c r="N784" s="20"/>
      <c r="P784" s="55"/>
      <c r="Q784" s="55"/>
      <c r="R784" s="14"/>
      <c r="S784" s="14"/>
    </row>
    <row r="785" spans="2:19" ht="12.95" hidden="1" customHeight="1" x14ac:dyDescent="0.25">
      <c r="B785" s="16">
        <v>43097.125</v>
      </c>
      <c r="C785" s="50" t="s">
        <v>755</v>
      </c>
      <c r="D785" s="34"/>
      <c r="E785" s="77">
        <v>5000000</v>
      </c>
      <c r="F785" s="18"/>
      <c r="G785" s="49">
        <f t="shared" si="127"/>
        <v>5000000</v>
      </c>
      <c r="H785" s="64"/>
      <c r="I785" s="64">
        <v>137445.04999999999</v>
      </c>
      <c r="J785" s="64">
        <v>48300</v>
      </c>
      <c r="K785" s="18">
        <f t="shared" si="128"/>
        <v>4814254.95</v>
      </c>
      <c r="L785" s="19">
        <f t="shared" si="129"/>
        <v>5000000</v>
      </c>
      <c r="M785" s="20"/>
      <c r="N785" s="20"/>
      <c r="P785" s="55"/>
      <c r="Q785" s="55"/>
      <c r="R785" s="14"/>
      <c r="S785" s="14"/>
    </row>
    <row r="786" spans="2:19" ht="12.95" hidden="1" customHeight="1" x14ac:dyDescent="0.25">
      <c r="B786" s="16">
        <v>43110.125</v>
      </c>
      <c r="C786" s="50" t="s">
        <v>756</v>
      </c>
      <c r="D786" s="34"/>
      <c r="E786" s="77">
        <v>2999988</v>
      </c>
      <c r="F786" s="18"/>
      <c r="G786" s="49">
        <f t="shared" si="127"/>
        <v>2999988</v>
      </c>
      <c r="H786" s="64">
        <v>0</v>
      </c>
      <c r="I786" s="64">
        <v>0</v>
      </c>
      <c r="J786" s="64">
        <v>28979.88</v>
      </c>
      <c r="K786" s="18">
        <f t="shared" si="128"/>
        <v>2971008.12</v>
      </c>
      <c r="L786" s="19">
        <f t="shared" si="129"/>
        <v>2000012</v>
      </c>
      <c r="M786" s="20"/>
      <c r="N786" s="20"/>
      <c r="P786" s="55"/>
      <c r="Q786" s="55"/>
      <c r="R786" s="14"/>
      <c r="S786" s="14"/>
    </row>
    <row r="787" spans="2:19" ht="12.95" hidden="1" customHeight="1" x14ac:dyDescent="0.25">
      <c r="B787" s="16">
        <v>43110.125</v>
      </c>
      <c r="C787" s="50" t="s">
        <v>24</v>
      </c>
      <c r="D787" s="34"/>
      <c r="E787" s="77">
        <v>2000012</v>
      </c>
      <c r="F787" s="18"/>
      <c r="G787" s="49">
        <f t="shared" si="127"/>
        <v>2000012</v>
      </c>
      <c r="H787" s="64">
        <v>0</v>
      </c>
      <c r="I787" s="64">
        <v>0</v>
      </c>
      <c r="J787" s="64">
        <v>0</v>
      </c>
      <c r="K787" s="18">
        <f t="shared" si="128"/>
        <v>2000012</v>
      </c>
      <c r="L787" s="19">
        <f t="shared" si="129"/>
        <v>0</v>
      </c>
      <c r="M787" s="20"/>
      <c r="N787" s="20"/>
      <c r="P787" s="55"/>
      <c r="Q787" s="55"/>
      <c r="R787" s="14"/>
      <c r="S787" s="14"/>
    </row>
    <row r="788" spans="2:19" ht="12.95" hidden="1" customHeight="1" x14ac:dyDescent="0.25">
      <c r="B788" s="9" t="s">
        <v>757</v>
      </c>
      <c r="C788" s="10"/>
      <c r="D788" s="11">
        <v>50000000</v>
      </c>
      <c r="E788" s="11">
        <f>+D788</f>
        <v>50000000</v>
      </c>
      <c r="F788" s="11"/>
      <c r="G788" s="11"/>
      <c r="H788" s="11"/>
      <c r="I788" s="11"/>
      <c r="J788" s="11"/>
      <c r="K788" s="11"/>
      <c r="L788" s="11">
        <f>+D788</f>
        <v>50000000</v>
      </c>
      <c r="M788" s="12"/>
      <c r="N788" s="12"/>
      <c r="P788" s="55"/>
      <c r="Q788" s="55"/>
      <c r="R788" s="14"/>
      <c r="S788" s="14"/>
    </row>
    <row r="789" spans="2:19" ht="12.95" hidden="1" customHeight="1" x14ac:dyDescent="0.25">
      <c r="B789" s="16">
        <v>42863</v>
      </c>
      <c r="C789" s="50" t="s">
        <v>758</v>
      </c>
      <c r="D789" s="34"/>
      <c r="E789" s="77">
        <v>5000000</v>
      </c>
      <c r="F789" s="18"/>
      <c r="G789" s="49">
        <f t="shared" ref="G789:G799" si="130">+E789</f>
        <v>5000000</v>
      </c>
      <c r="H789" s="64"/>
      <c r="I789" s="64">
        <v>66195.039999999994</v>
      </c>
      <c r="J789" s="64">
        <v>48300</v>
      </c>
      <c r="K789" s="18">
        <f t="shared" ref="K789:K799" si="131">+G789-H789-I789-J789</f>
        <v>4885504.96</v>
      </c>
      <c r="L789" s="19">
        <f t="shared" ref="L789:L799" si="132">+L788-G789</f>
        <v>45000000</v>
      </c>
      <c r="M789" s="20"/>
      <c r="N789" s="20"/>
      <c r="P789" s="55"/>
      <c r="Q789" s="55"/>
      <c r="R789" s="14"/>
      <c r="S789" s="14"/>
    </row>
    <row r="790" spans="2:19" ht="12.95" hidden="1" customHeight="1" x14ac:dyDescent="0.25">
      <c r="B790" s="16">
        <v>42908</v>
      </c>
      <c r="C790" s="50" t="s">
        <v>759</v>
      </c>
      <c r="D790" s="34"/>
      <c r="E790" s="77">
        <v>5000000</v>
      </c>
      <c r="F790" s="18"/>
      <c r="G790" s="49">
        <f t="shared" si="130"/>
        <v>5000000</v>
      </c>
      <c r="H790" s="64"/>
      <c r="I790" s="64">
        <v>66195.039999999994</v>
      </c>
      <c r="J790" s="64">
        <v>48300</v>
      </c>
      <c r="K790" s="18">
        <f t="shared" si="131"/>
        <v>4885504.96</v>
      </c>
      <c r="L790" s="19">
        <f t="shared" si="132"/>
        <v>40000000</v>
      </c>
      <c r="M790" s="20"/>
      <c r="N790" s="20"/>
      <c r="P790" s="55"/>
      <c r="Q790" s="55"/>
      <c r="R790" s="14"/>
      <c r="S790" s="14"/>
    </row>
    <row r="791" spans="2:19" ht="12.95" hidden="1" customHeight="1" x14ac:dyDescent="0.25">
      <c r="B791" s="16">
        <v>42944</v>
      </c>
      <c r="C791" s="50" t="s">
        <v>760</v>
      </c>
      <c r="D791" s="34"/>
      <c r="E791" s="77">
        <v>5000000</v>
      </c>
      <c r="F791" s="18"/>
      <c r="G791" s="49">
        <f t="shared" si="130"/>
        <v>5000000</v>
      </c>
      <c r="H791" s="64"/>
      <c r="I791" s="64">
        <v>66195.039999999994</v>
      </c>
      <c r="J791" s="64">
        <v>48300</v>
      </c>
      <c r="K791" s="18">
        <f t="shared" si="131"/>
        <v>4885504.96</v>
      </c>
      <c r="L791" s="19">
        <f t="shared" si="132"/>
        <v>35000000</v>
      </c>
      <c r="M791" s="20"/>
      <c r="N791" s="20"/>
      <c r="P791" s="55"/>
      <c r="Q791" s="55"/>
      <c r="R791" s="14"/>
      <c r="S791" s="14"/>
    </row>
    <row r="792" spans="2:19" ht="12.95" hidden="1" customHeight="1" x14ac:dyDescent="0.25">
      <c r="B792" s="16">
        <v>42957</v>
      </c>
      <c r="C792" s="50" t="s">
        <v>761</v>
      </c>
      <c r="D792" s="34"/>
      <c r="E792" s="77">
        <v>5000000</v>
      </c>
      <c r="F792" s="18"/>
      <c r="G792" s="49">
        <f t="shared" si="130"/>
        <v>5000000</v>
      </c>
      <c r="H792" s="64"/>
      <c r="I792" s="64">
        <v>66195.039999999994</v>
      </c>
      <c r="J792" s="64">
        <v>48300</v>
      </c>
      <c r="K792" s="18">
        <f t="shared" si="131"/>
        <v>4885504.96</v>
      </c>
      <c r="L792" s="19">
        <f t="shared" si="132"/>
        <v>30000000</v>
      </c>
      <c r="M792" s="20"/>
      <c r="N792" s="20"/>
      <c r="P792" s="55"/>
      <c r="Q792" s="55"/>
      <c r="R792" s="14"/>
      <c r="S792" s="14"/>
    </row>
    <row r="793" spans="2:19" ht="12.95" hidden="1" customHeight="1" x14ac:dyDescent="0.25">
      <c r="B793" s="16">
        <v>42978</v>
      </c>
      <c r="C793" s="50" t="s">
        <v>762</v>
      </c>
      <c r="D793" s="34"/>
      <c r="E793" s="77">
        <v>5000000</v>
      </c>
      <c r="F793" s="18"/>
      <c r="G793" s="49">
        <f t="shared" si="130"/>
        <v>5000000</v>
      </c>
      <c r="H793" s="64"/>
      <c r="I793" s="64">
        <v>66195.039999999994</v>
      </c>
      <c r="J793" s="64">
        <v>48300</v>
      </c>
      <c r="K793" s="18">
        <f t="shared" si="131"/>
        <v>4885504.96</v>
      </c>
      <c r="L793" s="19">
        <f t="shared" si="132"/>
        <v>25000000</v>
      </c>
      <c r="M793" s="20"/>
      <c r="N793" s="20"/>
      <c r="P793" s="55"/>
      <c r="Q793" s="55"/>
      <c r="R793" s="14"/>
      <c r="S793" s="14"/>
    </row>
    <row r="794" spans="2:19" ht="12.95" hidden="1" customHeight="1" x14ac:dyDescent="0.25">
      <c r="B794" s="16">
        <v>43010</v>
      </c>
      <c r="C794" s="50" t="s">
        <v>763</v>
      </c>
      <c r="D794" s="34"/>
      <c r="E794" s="77">
        <v>5000000</v>
      </c>
      <c r="F794" s="18"/>
      <c r="G794" s="49">
        <f t="shared" si="130"/>
        <v>5000000</v>
      </c>
      <c r="H794" s="64">
        <v>0</v>
      </c>
      <c r="I794" s="64">
        <v>66195.039999999994</v>
      </c>
      <c r="J794" s="64">
        <v>48300</v>
      </c>
      <c r="K794" s="18">
        <f t="shared" si="131"/>
        <v>4885504.96</v>
      </c>
      <c r="L794" s="19">
        <f t="shared" si="132"/>
        <v>20000000</v>
      </c>
      <c r="M794" s="20"/>
      <c r="N794" s="20"/>
      <c r="P794" s="55"/>
      <c r="Q794" s="55"/>
      <c r="R794" s="14"/>
      <c r="S794" s="14"/>
    </row>
    <row r="795" spans="2:19" ht="12.95" hidden="1" customHeight="1" x14ac:dyDescent="0.25">
      <c r="B795" s="16">
        <v>43035</v>
      </c>
      <c r="C795" s="50" t="s">
        <v>764</v>
      </c>
      <c r="D795" s="34"/>
      <c r="E795" s="77">
        <v>5000000</v>
      </c>
      <c r="F795" s="18"/>
      <c r="G795" s="49">
        <f t="shared" si="130"/>
        <v>5000000</v>
      </c>
      <c r="H795" s="64">
        <v>0</v>
      </c>
      <c r="I795" s="64">
        <v>66195.039999999994</v>
      </c>
      <c r="J795" s="64">
        <v>48300</v>
      </c>
      <c r="K795" s="18">
        <f t="shared" si="131"/>
        <v>4885504.96</v>
      </c>
      <c r="L795" s="19">
        <f t="shared" si="132"/>
        <v>15000000</v>
      </c>
      <c r="M795" s="20"/>
      <c r="N795" s="20"/>
      <c r="P795" s="55"/>
      <c r="Q795" s="55"/>
      <c r="R795" s="14"/>
      <c r="S795" s="14"/>
    </row>
    <row r="796" spans="2:19" ht="12.95" hidden="1" customHeight="1" x14ac:dyDescent="0.25">
      <c r="B796" s="16">
        <v>43063.125</v>
      </c>
      <c r="C796" s="50" t="s">
        <v>765</v>
      </c>
      <c r="D796" s="34"/>
      <c r="E796" s="77">
        <v>5000000</v>
      </c>
      <c r="F796" s="18"/>
      <c r="G796" s="49">
        <f t="shared" si="130"/>
        <v>5000000</v>
      </c>
      <c r="H796" s="64">
        <v>0</v>
      </c>
      <c r="I796" s="64">
        <v>66195.039999999994</v>
      </c>
      <c r="J796" s="64">
        <v>48300</v>
      </c>
      <c r="K796" s="18">
        <f t="shared" si="131"/>
        <v>4885504.96</v>
      </c>
      <c r="L796" s="19">
        <f t="shared" si="132"/>
        <v>10000000</v>
      </c>
      <c r="M796" s="20"/>
      <c r="N796" s="20"/>
      <c r="P796" s="55"/>
      <c r="Q796" s="55"/>
      <c r="R796" s="14"/>
      <c r="S796" s="14"/>
    </row>
    <row r="797" spans="2:19" ht="12.95" hidden="1" customHeight="1" x14ac:dyDescent="0.25">
      <c r="B797" s="16">
        <v>43095.125</v>
      </c>
      <c r="C797" s="50" t="s">
        <v>766</v>
      </c>
      <c r="D797" s="34"/>
      <c r="E797" s="77">
        <v>5000000</v>
      </c>
      <c r="F797" s="18"/>
      <c r="G797" s="49">
        <f t="shared" si="130"/>
        <v>5000000</v>
      </c>
      <c r="H797" s="64"/>
      <c r="I797" s="64">
        <v>66195.039999999994</v>
      </c>
      <c r="J797" s="64">
        <v>48300</v>
      </c>
      <c r="K797" s="18">
        <f t="shared" si="131"/>
        <v>4885504.96</v>
      </c>
      <c r="L797" s="19">
        <f t="shared" si="132"/>
        <v>5000000</v>
      </c>
      <c r="M797" s="20"/>
      <c r="N797" s="20"/>
      <c r="P797" s="55"/>
      <c r="Q797" s="55"/>
      <c r="R797" s="14"/>
      <c r="S797" s="14"/>
    </row>
    <row r="798" spans="2:19" ht="12.95" hidden="1" customHeight="1" x14ac:dyDescent="0.25">
      <c r="B798" s="16">
        <v>43097.125</v>
      </c>
      <c r="C798" s="50" t="s">
        <v>767</v>
      </c>
      <c r="D798" s="34"/>
      <c r="E798" s="77">
        <v>3166667</v>
      </c>
      <c r="F798" s="18"/>
      <c r="G798" s="49">
        <f t="shared" si="130"/>
        <v>3166667</v>
      </c>
      <c r="H798" s="64"/>
      <c r="I798" s="64">
        <v>66195.039999999994</v>
      </c>
      <c r="J798" s="64">
        <v>48300</v>
      </c>
      <c r="K798" s="18">
        <f t="shared" si="131"/>
        <v>3052171.96</v>
      </c>
      <c r="L798" s="19">
        <f t="shared" si="132"/>
        <v>1833333</v>
      </c>
      <c r="M798" s="20"/>
      <c r="N798" s="20"/>
      <c r="P798" s="55"/>
      <c r="Q798" s="55"/>
      <c r="R798" s="14"/>
      <c r="S798" s="14"/>
    </row>
    <row r="799" spans="2:19" ht="12.95" hidden="1" customHeight="1" x14ac:dyDescent="0.25">
      <c r="B799" s="16">
        <v>43097.125</v>
      </c>
      <c r="C799" s="50" t="s">
        <v>24</v>
      </c>
      <c r="D799" s="34"/>
      <c r="E799" s="77">
        <v>1833333</v>
      </c>
      <c r="F799" s="18"/>
      <c r="G799" s="49">
        <f t="shared" si="130"/>
        <v>1833333</v>
      </c>
      <c r="H799" s="64"/>
      <c r="I799" s="64"/>
      <c r="J799" s="64"/>
      <c r="K799" s="18">
        <f t="shared" si="131"/>
        <v>1833333</v>
      </c>
      <c r="L799" s="19">
        <f t="shared" si="132"/>
        <v>0</v>
      </c>
      <c r="M799" s="20"/>
      <c r="N799" s="20"/>
      <c r="P799" s="55"/>
      <c r="Q799" s="55"/>
      <c r="R799" s="14"/>
      <c r="S799" s="14"/>
    </row>
    <row r="800" spans="2:19" ht="12.95" hidden="1" customHeight="1" x14ac:dyDescent="0.25">
      <c r="B800" s="9" t="s">
        <v>768</v>
      </c>
      <c r="C800" s="10"/>
      <c r="D800" s="11">
        <v>56250000</v>
      </c>
      <c r="E800" s="11">
        <f>+D800</f>
        <v>56250000</v>
      </c>
      <c r="F800" s="11"/>
      <c r="G800" s="11"/>
      <c r="H800" s="11"/>
      <c r="I800" s="11"/>
      <c r="J800" s="11"/>
      <c r="K800" s="11"/>
      <c r="L800" s="11">
        <f>+D800</f>
        <v>56250000</v>
      </c>
      <c r="M800" s="12"/>
      <c r="N800" s="12"/>
      <c r="P800" s="55"/>
      <c r="Q800" s="55"/>
      <c r="R800" s="14"/>
      <c r="S800" s="14"/>
    </row>
    <row r="801" spans="2:19" ht="12.95" hidden="1" customHeight="1" x14ac:dyDescent="0.25">
      <c r="B801" s="16">
        <v>42860</v>
      </c>
      <c r="C801" s="50" t="s">
        <v>769</v>
      </c>
      <c r="D801" s="34"/>
      <c r="E801" s="77">
        <v>6250000</v>
      </c>
      <c r="F801" s="18"/>
      <c r="G801" s="49">
        <f t="shared" ref="G801:G809" si="133">+E801</f>
        <v>6250000</v>
      </c>
      <c r="H801" s="64"/>
      <c r="I801" s="64">
        <v>226507.55</v>
      </c>
      <c r="J801" s="64">
        <v>60375</v>
      </c>
      <c r="K801" s="18">
        <f t="shared" ref="K801:K809" si="134">+G801-H801-I801-J801</f>
        <v>5963117.4500000002</v>
      </c>
      <c r="L801" s="19">
        <f t="shared" ref="L801:L809" si="135">+L800-G801</f>
        <v>50000000</v>
      </c>
      <c r="M801" s="20"/>
      <c r="N801" s="20"/>
      <c r="P801" s="55"/>
      <c r="Q801" s="55"/>
      <c r="R801" s="14"/>
      <c r="S801" s="14"/>
    </row>
    <row r="802" spans="2:19" ht="12.95" hidden="1" customHeight="1" x14ac:dyDescent="0.25">
      <c r="B802" s="16">
        <v>42909</v>
      </c>
      <c r="C802" s="50" t="s">
        <v>770</v>
      </c>
      <c r="D802" s="34"/>
      <c r="E802" s="77">
        <v>6250000</v>
      </c>
      <c r="F802" s="18"/>
      <c r="G802" s="49">
        <f t="shared" si="133"/>
        <v>6250000</v>
      </c>
      <c r="H802" s="64"/>
      <c r="I802" s="64">
        <v>226507.55</v>
      </c>
      <c r="J802" s="64">
        <v>60375</v>
      </c>
      <c r="K802" s="18">
        <f t="shared" si="134"/>
        <v>5963117.4500000002</v>
      </c>
      <c r="L802" s="19">
        <f t="shared" si="135"/>
        <v>43750000</v>
      </c>
      <c r="M802" s="20"/>
      <c r="N802" s="20"/>
      <c r="P802" s="55"/>
      <c r="Q802" s="55"/>
      <c r="R802" s="14"/>
      <c r="S802" s="14"/>
    </row>
    <row r="803" spans="2:19" ht="12.95" hidden="1" customHeight="1" x14ac:dyDescent="0.25">
      <c r="B803" s="16">
        <v>42944</v>
      </c>
      <c r="C803" s="50" t="s">
        <v>771</v>
      </c>
      <c r="D803" s="34"/>
      <c r="E803" s="77">
        <v>6250000</v>
      </c>
      <c r="F803" s="18"/>
      <c r="G803" s="49">
        <f t="shared" si="133"/>
        <v>6250000</v>
      </c>
      <c r="H803" s="64"/>
      <c r="I803" s="64">
        <v>226507.55</v>
      </c>
      <c r="J803" s="64">
        <v>60375</v>
      </c>
      <c r="K803" s="18">
        <f t="shared" si="134"/>
        <v>5963117.4500000002</v>
      </c>
      <c r="L803" s="19">
        <f t="shared" si="135"/>
        <v>37500000</v>
      </c>
      <c r="M803" s="20"/>
      <c r="N803" s="20"/>
      <c r="P803" s="55"/>
      <c r="Q803" s="55"/>
      <c r="R803" s="14"/>
      <c r="S803" s="14"/>
    </row>
    <row r="804" spans="2:19" ht="12.95" hidden="1" customHeight="1" x14ac:dyDescent="0.25">
      <c r="B804" s="16">
        <v>42965</v>
      </c>
      <c r="C804" s="50" t="s">
        <v>772</v>
      </c>
      <c r="D804" s="34"/>
      <c r="E804" s="77">
        <v>6250000</v>
      </c>
      <c r="F804" s="18"/>
      <c r="G804" s="49">
        <f t="shared" si="133"/>
        <v>6250000</v>
      </c>
      <c r="H804" s="64"/>
      <c r="I804" s="64">
        <v>226507.55</v>
      </c>
      <c r="J804" s="64">
        <v>60375</v>
      </c>
      <c r="K804" s="18">
        <f t="shared" si="134"/>
        <v>5963117.4500000002</v>
      </c>
      <c r="L804" s="19">
        <f t="shared" si="135"/>
        <v>31250000</v>
      </c>
      <c r="M804" s="20"/>
      <c r="N804" s="20"/>
      <c r="P804" s="55"/>
      <c r="Q804" s="55"/>
      <c r="R804" s="14"/>
      <c r="S804" s="14"/>
    </row>
    <row r="805" spans="2:19" ht="12.95" hidden="1" customHeight="1" x14ac:dyDescent="0.25">
      <c r="B805" s="16">
        <v>42996</v>
      </c>
      <c r="C805" s="50" t="s">
        <v>773</v>
      </c>
      <c r="D805" s="34"/>
      <c r="E805" s="77">
        <v>6250000</v>
      </c>
      <c r="F805" s="18"/>
      <c r="G805" s="49">
        <f t="shared" si="133"/>
        <v>6250000</v>
      </c>
      <c r="H805" s="64"/>
      <c r="I805" s="64">
        <v>226507.55</v>
      </c>
      <c r="J805" s="64">
        <v>60375</v>
      </c>
      <c r="K805" s="18">
        <f t="shared" si="134"/>
        <v>5963117.4500000002</v>
      </c>
      <c r="L805" s="19">
        <f t="shared" si="135"/>
        <v>25000000</v>
      </c>
      <c r="M805" s="20"/>
      <c r="N805" s="20"/>
      <c r="P805" s="55"/>
      <c r="Q805" s="55"/>
      <c r="R805" s="14"/>
      <c r="S805" s="14"/>
    </row>
    <row r="806" spans="2:19" ht="12.95" hidden="1" customHeight="1" x14ac:dyDescent="0.25">
      <c r="B806" s="16">
        <v>43031</v>
      </c>
      <c r="C806" s="50" t="s">
        <v>774</v>
      </c>
      <c r="D806" s="34"/>
      <c r="E806" s="77">
        <v>6250000</v>
      </c>
      <c r="F806" s="18"/>
      <c r="G806" s="49">
        <f t="shared" si="133"/>
        <v>6250000</v>
      </c>
      <c r="H806" s="64">
        <v>0</v>
      </c>
      <c r="I806" s="64">
        <v>226507.55</v>
      </c>
      <c r="J806" s="64">
        <v>60375</v>
      </c>
      <c r="K806" s="18">
        <f t="shared" si="134"/>
        <v>5963117.4500000002</v>
      </c>
      <c r="L806" s="19">
        <f t="shared" si="135"/>
        <v>18750000</v>
      </c>
      <c r="M806" s="20"/>
      <c r="N806" s="20"/>
      <c r="P806" s="55"/>
      <c r="Q806" s="55"/>
      <c r="R806" s="14"/>
      <c r="S806" s="14"/>
    </row>
    <row r="807" spans="2:19" ht="12.95" hidden="1" customHeight="1" x14ac:dyDescent="0.25">
      <c r="B807" s="16">
        <v>43060.125</v>
      </c>
      <c r="C807" s="50" t="s">
        <v>775</v>
      </c>
      <c r="D807" s="34"/>
      <c r="E807" s="77">
        <v>6250000</v>
      </c>
      <c r="F807" s="18"/>
      <c r="G807" s="49">
        <f t="shared" si="133"/>
        <v>6250000</v>
      </c>
      <c r="H807" s="64">
        <v>0</v>
      </c>
      <c r="I807" s="64">
        <v>226507.55</v>
      </c>
      <c r="J807" s="64">
        <v>60375</v>
      </c>
      <c r="K807" s="18">
        <f t="shared" si="134"/>
        <v>5963117.4500000002</v>
      </c>
      <c r="L807" s="19">
        <f t="shared" si="135"/>
        <v>12500000</v>
      </c>
      <c r="M807" s="20"/>
      <c r="N807" s="20"/>
      <c r="P807" s="55"/>
      <c r="Q807" s="55"/>
      <c r="R807" s="14"/>
      <c r="S807" s="14"/>
    </row>
    <row r="808" spans="2:19" ht="12.95" hidden="1" customHeight="1" x14ac:dyDescent="0.25">
      <c r="B808" s="16">
        <v>43090.125</v>
      </c>
      <c r="C808" s="50" t="s">
        <v>776</v>
      </c>
      <c r="D808" s="34"/>
      <c r="E808" s="77">
        <v>6250000</v>
      </c>
      <c r="F808" s="18"/>
      <c r="G808" s="49">
        <f t="shared" si="133"/>
        <v>6250000</v>
      </c>
      <c r="H808" s="64"/>
      <c r="I808" s="64">
        <v>226507.55</v>
      </c>
      <c r="J808" s="64">
        <v>60375</v>
      </c>
      <c r="K808" s="18">
        <f t="shared" si="134"/>
        <v>5963117.4500000002</v>
      </c>
      <c r="L808" s="19">
        <f t="shared" si="135"/>
        <v>6250000</v>
      </c>
      <c r="M808" s="20"/>
      <c r="N808" s="20"/>
      <c r="P808" s="55"/>
      <c r="Q808" s="55"/>
      <c r="R808" s="14"/>
      <c r="S808" s="14"/>
    </row>
    <row r="809" spans="2:19" ht="12.95" hidden="1" customHeight="1" x14ac:dyDescent="0.25">
      <c r="B809" s="16">
        <v>43119.125</v>
      </c>
      <c r="C809" s="50" t="s">
        <v>777</v>
      </c>
      <c r="D809" s="34"/>
      <c r="E809" s="77">
        <v>6250000</v>
      </c>
      <c r="F809" s="18"/>
      <c r="G809" s="49">
        <f t="shared" si="133"/>
        <v>6250000</v>
      </c>
      <c r="H809" s="64">
        <v>0</v>
      </c>
      <c r="I809" s="64">
        <v>203096.71</v>
      </c>
      <c r="J809" s="64">
        <v>60375</v>
      </c>
      <c r="K809" s="18">
        <f t="shared" si="134"/>
        <v>5986528.29</v>
      </c>
      <c r="L809" s="19">
        <f t="shared" si="135"/>
        <v>0</v>
      </c>
      <c r="M809" s="20"/>
      <c r="N809" s="20"/>
      <c r="P809" s="55"/>
      <c r="Q809" s="55"/>
      <c r="R809" s="14"/>
      <c r="S809" s="14"/>
    </row>
    <row r="810" spans="2:19" ht="12.95" hidden="1" customHeight="1" x14ac:dyDescent="0.25">
      <c r="B810" s="9" t="s">
        <v>778</v>
      </c>
      <c r="C810" s="10"/>
      <c r="D810" s="11">
        <v>58500000</v>
      </c>
      <c r="E810" s="11">
        <f>+D810</f>
        <v>58500000</v>
      </c>
      <c r="F810" s="11"/>
      <c r="G810" s="11"/>
      <c r="H810" s="11"/>
      <c r="I810" s="11"/>
      <c r="J810" s="11"/>
      <c r="K810" s="11"/>
      <c r="L810" s="11">
        <f>+D810</f>
        <v>58500000</v>
      </c>
      <c r="M810" s="12"/>
      <c r="N810" s="12"/>
      <c r="P810" s="55"/>
      <c r="Q810" s="55"/>
      <c r="R810" s="14"/>
      <c r="S810" s="14"/>
    </row>
    <row r="811" spans="2:19" ht="12.95" hidden="1" customHeight="1" x14ac:dyDescent="0.25">
      <c r="B811" s="16">
        <v>42913</v>
      </c>
      <c r="C811" s="50" t="s">
        <v>779</v>
      </c>
      <c r="D811" s="34"/>
      <c r="E811" s="77">
        <v>6500000</v>
      </c>
      <c r="F811" s="18"/>
      <c r="G811" s="49">
        <f t="shared" ref="G811:G820" si="136">+E811</f>
        <v>6500000</v>
      </c>
      <c r="H811" s="64"/>
      <c r="I811" s="64">
        <v>258570.07</v>
      </c>
      <c r="J811" s="64">
        <v>62790</v>
      </c>
      <c r="K811" s="18">
        <f t="shared" ref="K811:K820" si="137">+G811-H811-I811-J811</f>
        <v>6178639.9299999997</v>
      </c>
      <c r="L811" s="19">
        <f t="shared" ref="L811:L820" si="138">+L810-G811</f>
        <v>52000000</v>
      </c>
      <c r="M811" s="20"/>
      <c r="N811" s="20"/>
      <c r="P811" s="55"/>
      <c r="Q811" s="55"/>
      <c r="R811" s="14"/>
      <c r="S811" s="14"/>
    </row>
    <row r="812" spans="2:19" ht="12.95" hidden="1" customHeight="1" x14ac:dyDescent="0.25">
      <c r="B812" s="16">
        <v>42916</v>
      </c>
      <c r="C812" s="50" t="s">
        <v>780</v>
      </c>
      <c r="D812" s="34"/>
      <c r="E812" s="77">
        <v>6500000</v>
      </c>
      <c r="F812" s="18"/>
      <c r="G812" s="49">
        <f t="shared" si="136"/>
        <v>6500000</v>
      </c>
      <c r="H812" s="64"/>
      <c r="I812" s="64">
        <v>258570.07</v>
      </c>
      <c r="J812" s="64">
        <v>62790</v>
      </c>
      <c r="K812" s="18">
        <f t="shared" si="137"/>
        <v>6178639.9299999997</v>
      </c>
      <c r="L812" s="19">
        <f t="shared" si="138"/>
        <v>45500000</v>
      </c>
      <c r="M812" s="20"/>
      <c r="N812" s="20"/>
      <c r="P812" s="55"/>
      <c r="Q812" s="55"/>
      <c r="R812" s="14"/>
      <c r="S812" s="14"/>
    </row>
    <row r="813" spans="2:19" ht="12.95" hidden="1" customHeight="1" x14ac:dyDescent="0.25">
      <c r="B813" s="16">
        <v>42944</v>
      </c>
      <c r="C813" s="50" t="s">
        <v>781</v>
      </c>
      <c r="D813" s="34"/>
      <c r="E813" s="77">
        <v>6500000</v>
      </c>
      <c r="F813" s="18"/>
      <c r="G813" s="49">
        <f t="shared" si="136"/>
        <v>6500000</v>
      </c>
      <c r="H813" s="64"/>
      <c r="I813" s="64">
        <v>258570.07</v>
      </c>
      <c r="J813" s="64">
        <v>62790</v>
      </c>
      <c r="K813" s="18">
        <f t="shared" si="137"/>
        <v>6178639.9299999997</v>
      </c>
      <c r="L813" s="19">
        <f t="shared" si="138"/>
        <v>39000000</v>
      </c>
      <c r="M813" s="20"/>
      <c r="N813" s="20"/>
      <c r="P813" s="55"/>
      <c r="Q813" s="55"/>
      <c r="R813" s="14"/>
      <c r="S813" s="14"/>
    </row>
    <row r="814" spans="2:19" ht="12.95" hidden="1" customHeight="1" x14ac:dyDescent="0.25">
      <c r="B814" s="16">
        <v>42969</v>
      </c>
      <c r="C814" s="50" t="s">
        <v>782</v>
      </c>
      <c r="D814" s="34"/>
      <c r="E814" s="77">
        <v>6500000</v>
      </c>
      <c r="F814" s="18"/>
      <c r="G814" s="49">
        <f t="shared" si="136"/>
        <v>6500000</v>
      </c>
      <c r="H814" s="64"/>
      <c r="I814" s="64">
        <v>258570.07</v>
      </c>
      <c r="J814" s="64">
        <v>62790</v>
      </c>
      <c r="K814" s="18">
        <f t="shared" si="137"/>
        <v>6178639.9299999997</v>
      </c>
      <c r="L814" s="19">
        <f t="shared" si="138"/>
        <v>32500000</v>
      </c>
      <c r="M814" s="20"/>
      <c r="N814" s="20"/>
      <c r="P814" s="55"/>
      <c r="Q814" s="55"/>
      <c r="R814" s="14"/>
      <c r="S814" s="14"/>
    </row>
    <row r="815" spans="2:19" ht="12.95" hidden="1" customHeight="1" x14ac:dyDescent="0.25">
      <c r="B815" s="16">
        <v>42993</v>
      </c>
      <c r="C815" s="50" t="s">
        <v>783</v>
      </c>
      <c r="D815" s="34"/>
      <c r="E815" s="77">
        <v>6500000</v>
      </c>
      <c r="F815" s="18"/>
      <c r="G815" s="49">
        <f t="shared" si="136"/>
        <v>6500000</v>
      </c>
      <c r="H815" s="64"/>
      <c r="I815" s="64">
        <v>258570.07</v>
      </c>
      <c r="J815" s="64">
        <v>62790</v>
      </c>
      <c r="K815" s="18">
        <f t="shared" si="137"/>
        <v>6178639.9299999997</v>
      </c>
      <c r="L815" s="19">
        <f t="shared" si="138"/>
        <v>26000000</v>
      </c>
      <c r="M815" s="20"/>
      <c r="N815" s="20"/>
      <c r="P815" s="55"/>
      <c r="Q815" s="55"/>
      <c r="R815" s="14"/>
      <c r="S815" s="14"/>
    </row>
    <row r="816" spans="2:19" ht="12.95" hidden="1" customHeight="1" x14ac:dyDescent="0.25">
      <c r="B816" s="16">
        <v>43031</v>
      </c>
      <c r="C816" s="50" t="s">
        <v>784</v>
      </c>
      <c r="D816" s="34"/>
      <c r="E816" s="77">
        <v>6500000</v>
      </c>
      <c r="F816" s="18"/>
      <c r="G816" s="49">
        <f t="shared" si="136"/>
        <v>6500000</v>
      </c>
      <c r="H816" s="64">
        <v>0</v>
      </c>
      <c r="I816" s="64">
        <v>258570.07</v>
      </c>
      <c r="J816" s="64">
        <v>62790</v>
      </c>
      <c r="K816" s="18">
        <f t="shared" si="137"/>
        <v>6178639.9299999997</v>
      </c>
      <c r="L816" s="19">
        <f t="shared" si="138"/>
        <v>19500000</v>
      </c>
      <c r="M816" s="20"/>
      <c r="N816" s="20"/>
      <c r="P816" s="55"/>
      <c r="Q816" s="55"/>
      <c r="R816" s="14"/>
      <c r="S816" s="14"/>
    </row>
    <row r="817" spans="2:19" ht="12.95" hidden="1" customHeight="1" x14ac:dyDescent="0.25">
      <c r="B817" s="16">
        <v>43061.125</v>
      </c>
      <c r="C817" s="50" t="s">
        <v>785</v>
      </c>
      <c r="D817" s="34"/>
      <c r="E817" s="77">
        <v>6500000</v>
      </c>
      <c r="F817" s="18"/>
      <c r="G817" s="49">
        <f t="shared" si="136"/>
        <v>6500000</v>
      </c>
      <c r="H817" s="64">
        <v>0</v>
      </c>
      <c r="I817" s="64">
        <v>258570.07</v>
      </c>
      <c r="J817" s="64">
        <v>62790</v>
      </c>
      <c r="K817" s="18">
        <f t="shared" si="137"/>
        <v>6178639.9299999997</v>
      </c>
      <c r="L817" s="19">
        <f t="shared" si="138"/>
        <v>13000000</v>
      </c>
      <c r="M817" s="20"/>
      <c r="N817" s="20"/>
      <c r="P817" s="55"/>
      <c r="Q817" s="55"/>
      <c r="R817" s="14"/>
      <c r="S817" s="14"/>
    </row>
    <row r="818" spans="2:19" ht="12.95" hidden="1" customHeight="1" x14ac:dyDescent="0.25">
      <c r="B818" s="16">
        <v>43089.125</v>
      </c>
      <c r="C818" s="50" t="s">
        <v>786</v>
      </c>
      <c r="D818" s="34"/>
      <c r="E818" s="77">
        <v>6500000</v>
      </c>
      <c r="F818" s="18"/>
      <c r="G818" s="49">
        <f t="shared" si="136"/>
        <v>6500000</v>
      </c>
      <c r="H818" s="64"/>
      <c r="I818" s="64">
        <v>258570.07</v>
      </c>
      <c r="J818" s="64">
        <v>62790</v>
      </c>
      <c r="K818" s="18">
        <f t="shared" si="137"/>
        <v>6178639.9299999997</v>
      </c>
      <c r="L818" s="19">
        <f t="shared" si="138"/>
        <v>6500000</v>
      </c>
      <c r="M818" s="20"/>
      <c r="N818" s="20"/>
      <c r="P818" s="55"/>
      <c r="Q818" s="55"/>
      <c r="R818" s="14"/>
      <c r="S818" s="14"/>
    </row>
    <row r="819" spans="2:19" ht="12.95" hidden="1" customHeight="1" x14ac:dyDescent="0.25">
      <c r="B819" s="16">
        <v>43110.125</v>
      </c>
      <c r="C819" s="50" t="s">
        <v>787</v>
      </c>
      <c r="D819" s="34"/>
      <c r="E819" s="77">
        <v>4766667</v>
      </c>
      <c r="F819" s="18"/>
      <c r="G819" s="49">
        <f t="shared" si="136"/>
        <v>4766667</v>
      </c>
      <c r="H819" s="64">
        <v>0</v>
      </c>
      <c r="I819" s="64">
        <v>12859.26</v>
      </c>
      <c r="J819" s="64">
        <v>46046</v>
      </c>
      <c r="K819" s="18">
        <f t="shared" si="137"/>
        <v>4707761.74</v>
      </c>
      <c r="L819" s="19">
        <f t="shared" si="138"/>
        <v>1733333</v>
      </c>
      <c r="M819" s="20"/>
      <c r="N819" s="20"/>
      <c r="P819" s="55"/>
      <c r="Q819" s="55"/>
      <c r="R819" s="14"/>
      <c r="S819" s="14"/>
    </row>
    <row r="820" spans="2:19" ht="12.95" hidden="1" customHeight="1" x14ac:dyDescent="0.25">
      <c r="B820" s="16">
        <v>43110.125</v>
      </c>
      <c r="C820" s="50" t="s">
        <v>24</v>
      </c>
      <c r="D820" s="34"/>
      <c r="E820" s="77">
        <v>1733333</v>
      </c>
      <c r="F820" s="18"/>
      <c r="G820" s="49">
        <f t="shared" si="136"/>
        <v>1733333</v>
      </c>
      <c r="H820" s="64">
        <v>0</v>
      </c>
      <c r="I820" s="64">
        <v>0</v>
      </c>
      <c r="J820" s="64">
        <v>0</v>
      </c>
      <c r="K820" s="18">
        <f t="shared" si="137"/>
        <v>1733333</v>
      </c>
      <c r="L820" s="19">
        <f t="shared" si="138"/>
        <v>0</v>
      </c>
      <c r="M820" s="20"/>
      <c r="N820" s="20"/>
      <c r="P820" s="55"/>
      <c r="Q820" s="55"/>
      <c r="R820" s="14"/>
      <c r="S820" s="14"/>
    </row>
    <row r="821" spans="2:19" ht="12.95" hidden="1" customHeight="1" x14ac:dyDescent="0.25">
      <c r="B821" s="9" t="s">
        <v>788</v>
      </c>
      <c r="C821" s="10"/>
      <c r="D821" s="11">
        <v>88000000</v>
      </c>
      <c r="E821" s="11">
        <f>+D821</f>
        <v>88000000</v>
      </c>
      <c r="F821" s="11"/>
      <c r="G821" s="11"/>
      <c r="H821" s="11"/>
      <c r="I821" s="11"/>
      <c r="J821" s="11"/>
      <c r="K821" s="11"/>
      <c r="L821" s="11">
        <f>+D821</f>
        <v>88000000</v>
      </c>
      <c r="M821" s="12"/>
      <c r="N821" s="12"/>
      <c r="P821" s="55"/>
      <c r="Q821" s="55"/>
      <c r="R821" s="14"/>
      <c r="S821" s="14"/>
    </row>
    <row r="822" spans="2:19" ht="12.95" hidden="1" customHeight="1" x14ac:dyDescent="0.25">
      <c r="B822" s="16">
        <v>42916</v>
      </c>
      <c r="C822" s="50" t="s">
        <v>789</v>
      </c>
      <c r="D822" s="34"/>
      <c r="E822" s="77">
        <v>8000000</v>
      </c>
      <c r="F822" s="18"/>
      <c r="G822" s="49">
        <f t="shared" ref="G822:G832" si="139">+E822</f>
        <v>8000000</v>
      </c>
      <c r="H822" s="64"/>
      <c r="I822" s="64">
        <v>660512</v>
      </c>
      <c r="J822" s="64">
        <v>77280</v>
      </c>
      <c r="K822" s="18">
        <f t="shared" ref="K822:K831" si="140">+G822-H822-I822-J822</f>
        <v>7262208</v>
      </c>
      <c r="L822" s="19">
        <f t="shared" ref="L822:L832" si="141">+L821-G822</f>
        <v>80000000</v>
      </c>
      <c r="M822" s="20"/>
      <c r="N822" s="20"/>
      <c r="P822" s="55"/>
      <c r="Q822" s="55"/>
      <c r="R822" s="14"/>
      <c r="S822" s="14"/>
    </row>
    <row r="823" spans="2:19" ht="12.95" hidden="1" customHeight="1" x14ac:dyDescent="0.25">
      <c r="B823" s="16">
        <v>42921</v>
      </c>
      <c r="C823" s="50" t="s">
        <v>790</v>
      </c>
      <c r="D823" s="34"/>
      <c r="E823" s="77">
        <v>8000000</v>
      </c>
      <c r="F823" s="18"/>
      <c r="G823" s="49">
        <f t="shared" si="139"/>
        <v>8000000</v>
      </c>
      <c r="H823" s="64"/>
      <c r="I823" s="64">
        <v>660512</v>
      </c>
      <c r="J823" s="64">
        <v>77280</v>
      </c>
      <c r="K823" s="18">
        <f t="shared" si="140"/>
        <v>7262208</v>
      </c>
      <c r="L823" s="19">
        <f t="shared" si="141"/>
        <v>72000000</v>
      </c>
      <c r="M823" s="20"/>
      <c r="N823" s="20"/>
      <c r="P823" s="55"/>
      <c r="Q823" s="55"/>
      <c r="R823" s="14"/>
      <c r="S823" s="14"/>
    </row>
    <row r="824" spans="2:19" ht="12.95" hidden="1" customHeight="1" x14ac:dyDescent="0.25">
      <c r="B824" s="16">
        <v>42993</v>
      </c>
      <c r="C824" s="50" t="s">
        <v>791</v>
      </c>
      <c r="D824" s="34"/>
      <c r="E824" s="77">
        <v>8000000</v>
      </c>
      <c r="F824" s="18"/>
      <c r="G824" s="49">
        <f t="shared" si="139"/>
        <v>8000000</v>
      </c>
      <c r="H824" s="64"/>
      <c r="I824" s="64">
        <v>660512</v>
      </c>
      <c r="J824" s="64">
        <v>77280</v>
      </c>
      <c r="K824" s="18">
        <f t="shared" si="140"/>
        <v>7262208</v>
      </c>
      <c r="L824" s="19">
        <f t="shared" si="141"/>
        <v>64000000</v>
      </c>
      <c r="M824" s="20"/>
      <c r="N824" s="20"/>
      <c r="P824" s="55"/>
      <c r="Q824" s="55"/>
      <c r="R824" s="14"/>
      <c r="S824" s="14"/>
    </row>
    <row r="825" spans="2:19" ht="12.95" hidden="1" customHeight="1" x14ac:dyDescent="0.25">
      <c r="B825" s="16">
        <v>42993</v>
      </c>
      <c r="C825" s="50" t="s">
        <v>792</v>
      </c>
      <c r="D825" s="34"/>
      <c r="E825" s="77">
        <v>8000000</v>
      </c>
      <c r="F825" s="18"/>
      <c r="G825" s="49">
        <f t="shared" si="139"/>
        <v>8000000</v>
      </c>
      <c r="H825" s="64"/>
      <c r="I825" s="64">
        <v>660512</v>
      </c>
      <c r="J825" s="64">
        <v>77280</v>
      </c>
      <c r="K825" s="18">
        <f t="shared" si="140"/>
        <v>7262208</v>
      </c>
      <c r="L825" s="19">
        <f t="shared" si="141"/>
        <v>56000000</v>
      </c>
      <c r="M825" s="20"/>
      <c r="N825" s="20"/>
      <c r="P825" s="55"/>
      <c r="Q825" s="55"/>
      <c r="R825" s="14"/>
      <c r="S825" s="14"/>
    </row>
    <row r="826" spans="2:19" ht="12.95" hidden="1" customHeight="1" x14ac:dyDescent="0.25">
      <c r="B826" s="16">
        <v>43056.125</v>
      </c>
      <c r="C826" s="50" t="s">
        <v>793</v>
      </c>
      <c r="D826" s="34"/>
      <c r="E826" s="77">
        <v>8000000</v>
      </c>
      <c r="F826" s="18"/>
      <c r="G826" s="49">
        <f t="shared" si="139"/>
        <v>8000000</v>
      </c>
      <c r="H826" s="64"/>
      <c r="I826" s="64">
        <v>660512</v>
      </c>
      <c r="J826" s="64">
        <v>77280</v>
      </c>
      <c r="K826" s="18">
        <f t="shared" si="140"/>
        <v>7262208</v>
      </c>
      <c r="L826" s="19">
        <f t="shared" si="141"/>
        <v>48000000</v>
      </c>
      <c r="M826" s="20"/>
      <c r="N826" s="20"/>
      <c r="P826" s="55"/>
      <c r="Q826" s="55"/>
      <c r="R826" s="14"/>
      <c r="S826" s="14"/>
    </row>
    <row r="827" spans="2:19" ht="12.95" hidden="1" customHeight="1" x14ac:dyDescent="0.25">
      <c r="B827" s="16">
        <v>43056.125</v>
      </c>
      <c r="C827" s="50" t="s">
        <v>794</v>
      </c>
      <c r="D827" s="34"/>
      <c r="E827" s="77">
        <v>8000000</v>
      </c>
      <c r="F827" s="18"/>
      <c r="G827" s="49">
        <f t="shared" si="139"/>
        <v>8000000</v>
      </c>
      <c r="H827" s="64"/>
      <c r="I827" s="64">
        <v>660512</v>
      </c>
      <c r="J827" s="64">
        <v>77280</v>
      </c>
      <c r="K827" s="18">
        <f t="shared" si="140"/>
        <v>7262208</v>
      </c>
      <c r="L827" s="19">
        <f t="shared" si="141"/>
        <v>40000000</v>
      </c>
      <c r="M827" s="20"/>
      <c r="N827" s="20"/>
      <c r="P827" s="55"/>
      <c r="Q827" s="55"/>
      <c r="R827" s="14"/>
      <c r="S827" s="14"/>
    </row>
    <row r="828" spans="2:19" ht="12.95" hidden="1" customHeight="1" x14ac:dyDescent="0.25">
      <c r="B828" s="16">
        <v>43073.125</v>
      </c>
      <c r="C828" s="50" t="s">
        <v>795</v>
      </c>
      <c r="D828" s="34"/>
      <c r="E828" s="77">
        <v>8000000</v>
      </c>
      <c r="F828" s="18"/>
      <c r="G828" s="49">
        <f t="shared" si="139"/>
        <v>8000000</v>
      </c>
      <c r="H828" s="64"/>
      <c r="I828" s="64">
        <v>660512</v>
      </c>
      <c r="J828" s="64">
        <v>77280</v>
      </c>
      <c r="K828" s="18">
        <f t="shared" si="140"/>
        <v>7262208</v>
      </c>
      <c r="L828" s="19">
        <f t="shared" si="141"/>
        <v>32000000</v>
      </c>
      <c r="M828" s="20"/>
      <c r="N828" s="20"/>
      <c r="P828" s="55"/>
      <c r="Q828" s="55"/>
      <c r="R828" s="14"/>
      <c r="S828" s="14"/>
    </row>
    <row r="829" spans="2:19" ht="12.95" hidden="1" customHeight="1" x14ac:dyDescent="0.25">
      <c r="B829" s="16">
        <v>43073.125</v>
      </c>
      <c r="C829" s="50" t="s">
        <v>796</v>
      </c>
      <c r="D829" s="34"/>
      <c r="E829" s="77">
        <v>8000000</v>
      </c>
      <c r="F829" s="18"/>
      <c r="G829" s="49">
        <f t="shared" si="139"/>
        <v>8000000</v>
      </c>
      <c r="H829" s="64"/>
      <c r="I829" s="64">
        <v>660512</v>
      </c>
      <c r="J829" s="64">
        <v>77280</v>
      </c>
      <c r="K829" s="18">
        <f t="shared" si="140"/>
        <v>7262208</v>
      </c>
      <c r="L829" s="19">
        <f t="shared" si="141"/>
        <v>24000000</v>
      </c>
      <c r="M829" s="20"/>
      <c r="N829" s="20"/>
      <c r="P829" s="55"/>
      <c r="Q829" s="55"/>
      <c r="R829" s="14"/>
      <c r="S829" s="14"/>
    </row>
    <row r="830" spans="2:19" ht="12.95" hidden="1" customHeight="1" x14ac:dyDescent="0.25">
      <c r="B830" s="16">
        <v>43097.125</v>
      </c>
      <c r="C830" s="50" t="s">
        <v>797</v>
      </c>
      <c r="D830" s="34"/>
      <c r="E830" s="77">
        <v>8000000</v>
      </c>
      <c r="F830" s="18"/>
      <c r="G830" s="49">
        <f t="shared" si="139"/>
        <v>8000000</v>
      </c>
      <c r="H830" s="64"/>
      <c r="I830" s="64">
        <v>660512</v>
      </c>
      <c r="J830" s="64">
        <v>77280</v>
      </c>
      <c r="K830" s="18">
        <f t="shared" si="140"/>
        <v>7262208</v>
      </c>
      <c r="L830" s="19">
        <f t="shared" si="141"/>
        <v>16000000</v>
      </c>
      <c r="M830" s="20"/>
      <c r="N830" s="20"/>
      <c r="P830" s="55"/>
      <c r="Q830" s="55"/>
      <c r="R830" s="14"/>
      <c r="S830" s="14"/>
    </row>
    <row r="831" spans="2:19" ht="12.95" hidden="1" customHeight="1" x14ac:dyDescent="0.25">
      <c r="B831" s="16">
        <v>43150.125</v>
      </c>
      <c r="C831" s="50" t="s">
        <v>798</v>
      </c>
      <c r="D831" s="34"/>
      <c r="E831" s="77">
        <v>8000000</v>
      </c>
      <c r="F831" s="18"/>
      <c r="G831" s="49">
        <f t="shared" si="139"/>
        <v>8000000</v>
      </c>
      <c r="H831" s="64"/>
      <c r="I831" s="64">
        <v>423980.99</v>
      </c>
      <c r="J831" s="64">
        <v>68470.080000000002</v>
      </c>
      <c r="K831" s="18">
        <f t="shared" si="140"/>
        <v>7507548.9299999997</v>
      </c>
      <c r="L831" s="19">
        <f t="shared" si="141"/>
        <v>8000000</v>
      </c>
      <c r="M831" s="20"/>
      <c r="N831" s="20"/>
      <c r="P831" s="55"/>
      <c r="Q831" s="55"/>
      <c r="R831" s="14"/>
      <c r="S831" s="14"/>
    </row>
    <row r="832" spans="2:19" ht="15" hidden="1" x14ac:dyDescent="0.25">
      <c r="B832" s="16">
        <v>43150.125</v>
      </c>
      <c r="C832" s="50" t="s">
        <v>24</v>
      </c>
      <c r="D832" s="34"/>
      <c r="E832" s="77">
        <v>8000000</v>
      </c>
      <c r="F832" s="18"/>
      <c r="G832" s="49">
        <f t="shared" si="139"/>
        <v>8000000</v>
      </c>
      <c r="H832" s="64">
        <v>0</v>
      </c>
      <c r="I832" s="64">
        <v>0</v>
      </c>
      <c r="J832" s="64">
        <v>0</v>
      </c>
      <c r="K832" s="18">
        <v>0</v>
      </c>
      <c r="L832" s="19">
        <f t="shared" si="141"/>
        <v>0</v>
      </c>
      <c r="M832" s="20"/>
      <c r="N832" s="20"/>
      <c r="P832" s="55"/>
      <c r="Q832" s="55"/>
      <c r="R832" s="14"/>
      <c r="S832" s="14"/>
    </row>
    <row r="833" spans="2:19" ht="12.95" hidden="1" customHeight="1" x14ac:dyDescent="0.25">
      <c r="B833" s="9" t="s">
        <v>799</v>
      </c>
      <c r="C833" s="10"/>
      <c r="D833" s="11">
        <v>50000000</v>
      </c>
      <c r="E833" s="11">
        <f>+D833</f>
        <v>50000000</v>
      </c>
      <c r="F833" s="11"/>
      <c r="G833" s="11"/>
      <c r="H833" s="11"/>
      <c r="I833" s="11"/>
      <c r="J833" s="11"/>
      <c r="K833" s="11"/>
      <c r="L833" s="11">
        <f>+D833</f>
        <v>50000000</v>
      </c>
      <c r="M833" s="12"/>
      <c r="N833" s="12"/>
      <c r="P833" s="55"/>
      <c r="Q833" s="55"/>
      <c r="R833" s="14"/>
      <c r="S833" s="14"/>
    </row>
    <row r="834" spans="2:19" ht="12.95" hidden="1" customHeight="1" x14ac:dyDescent="0.25">
      <c r="B834" s="16">
        <v>42913</v>
      </c>
      <c r="C834" s="50" t="s">
        <v>800</v>
      </c>
      <c r="D834" s="34"/>
      <c r="E834" s="77">
        <v>5000000</v>
      </c>
      <c r="F834" s="18"/>
      <c r="G834" s="49">
        <f>+E834</f>
        <v>5000000</v>
      </c>
      <c r="H834" s="64"/>
      <c r="I834" s="64">
        <v>54723.79</v>
      </c>
      <c r="J834" s="64">
        <v>42793.8</v>
      </c>
      <c r="K834" s="18">
        <f>+G834-H834-I834-J834</f>
        <v>4902482.41</v>
      </c>
      <c r="L834" s="19">
        <f>+L833-G834</f>
        <v>45000000</v>
      </c>
      <c r="M834" s="20"/>
      <c r="N834" s="20"/>
      <c r="P834" s="55"/>
      <c r="Q834" s="55"/>
      <c r="R834" s="14"/>
      <c r="S834" s="14"/>
    </row>
    <row r="835" spans="2:19" ht="12.95" hidden="1" customHeight="1" x14ac:dyDescent="0.25">
      <c r="B835" s="16">
        <v>42957</v>
      </c>
      <c r="C835" s="50" t="s">
        <v>801</v>
      </c>
      <c r="D835" s="34"/>
      <c r="E835" s="77">
        <v>5000000</v>
      </c>
      <c r="F835" s="18"/>
      <c r="G835" s="49">
        <f>+E835</f>
        <v>5000000</v>
      </c>
      <c r="H835" s="64"/>
      <c r="I835" s="64">
        <v>54723.79</v>
      </c>
      <c r="J835" s="64">
        <v>42793.8</v>
      </c>
      <c r="K835" s="18">
        <f>+G835-H835-I835-J835</f>
        <v>4902482.41</v>
      </c>
      <c r="L835" s="19">
        <f>+L834-G835</f>
        <v>40000000</v>
      </c>
      <c r="M835" s="20"/>
      <c r="N835" s="20"/>
      <c r="P835" s="55"/>
      <c r="Q835" s="55"/>
      <c r="R835" s="14"/>
      <c r="S835" s="14"/>
    </row>
    <row r="836" spans="2:19" ht="12.95" hidden="1" customHeight="1" x14ac:dyDescent="0.25">
      <c r="B836" s="16">
        <v>43088.125</v>
      </c>
      <c r="C836" s="50" t="s">
        <v>802</v>
      </c>
      <c r="D836" s="34"/>
      <c r="E836" s="77">
        <v>5000000</v>
      </c>
      <c r="F836" s="18"/>
      <c r="G836" s="49">
        <f>+E836</f>
        <v>5000000</v>
      </c>
      <c r="H836" s="64"/>
      <c r="I836" s="64">
        <v>54723.79</v>
      </c>
      <c r="J836" s="64">
        <v>42793.8</v>
      </c>
      <c r="K836" s="18">
        <f>+G836-H836-I836-J836</f>
        <v>4902482.41</v>
      </c>
      <c r="L836" s="19">
        <f>+L835-G836</f>
        <v>35000000</v>
      </c>
      <c r="M836" s="20"/>
      <c r="N836" s="20"/>
      <c r="P836" s="55"/>
      <c r="Q836" s="55"/>
      <c r="R836" s="14"/>
      <c r="S836" s="14"/>
    </row>
    <row r="837" spans="2:19" ht="12.95" hidden="1" customHeight="1" x14ac:dyDescent="0.25">
      <c r="B837" s="16">
        <v>43095.125</v>
      </c>
      <c r="C837" s="50" t="s">
        <v>803</v>
      </c>
      <c r="D837" s="34"/>
      <c r="E837" s="77">
        <v>5000000</v>
      </c>
      <c r="F837" s="18"/>
      <c r="G837" s="49">
        <f>+E837</f>
        <v>5000000</v>
      </c>
      <c r="H837" s="64"/>
      <c r="I837" s="64">
        <v>54723.79</v>
      </c>
      <c r="J837" s="64">
        <v>42793.8</v>
      </c>
      <c r="K837" s="18">
        <f>+G837-H837-I837-J837</f>
        <v>4902482.41</v>
      </c>
      <c r="L837" s="19">
        <f>+L836-G837</f>
        <v>30000000</v>
      </c>
      <c r="M837" s="20"/>
      <c r="N837" s="20"/>
      <c r="P837" s="55"/>
      <c r="Q837" s="55"/>
      <c r="R837" s="14"/>
      <c r="S837" s="14"/>
    </row>
    <row r="838" spans="2:19" ht="12.95" hidden="1" customHeight="1" x14ac:dyDescent="0.25">
      <c r="B838" s="9" t="s">
        <v>804</v>
      </c>
      <c r="C838" s="10"/>
      <c r="D838" s="11">
        <v>83000000</v>
      </c>
      <c r="E838" s="11">
        <f>+D838</f>
        <v>83000000</v>
      </c>
      <c r="F838" s="11"/>
      <c r="G838" s="11"/>
      <c r="H838" s="11"/>
      <c r="I838" s="11"/>
      <c r="J838" s="11"/>
      <c r="K838" s="11"/>
      <c r="L838" s="11">
        <f>+D838</f>
        <v>83000000</v>
      </c>
      <c r="M838" s="12"/>
      <c r="N838" s="12"/>
      <c r="P838" s="55"/>
      <c r="Q838" s="55"/>
      <c r="R838" s="14"/>
      <c r="S838" s="14"/>
    </row>
    <row r="839" spans="2:19" ht="12.95" hidden="1" customHeight="1" x14ac:dyDescent="0.25">
      <c r="B839" s="16">
        <v>42913</v>
      </c>
      <c r="C839" s="50" t="s">
        <v>805</v>
      </c>
      <c r="D839" s="77"/>
      <c r="E839" s="77">
        <v>8300000</v>
      </c>
      <c r="F839" s="18"/>
      <c r="G839" s="49">
        <f t="shared" ref="G839:G846" si="142">+E839</f>
        <v>8300000</v>
      </c>
      <c r="H839" s="64">
        <v>198781.5</v>
      </c>
      <c r="I839" s="64">
        <v>303466.65999999997</v>
      </c>
      <c r="J839" s="64">
        <v>59695.55</v>
      </c>
      <c r="K839" s="18">
        <f t="shared" ref="K839:K846" si="143">+G839-H839-I839-J839</f>
        <v>7738056.29</v>
      </c>
      <c r="L839" s="19">
        <f t="shared" ref="L839:L846" si="144">+L838-G839</f>
        <v>74700000</v>
      </c>
      <c r="M839" s="20"/>
      <c r="N839" s="20"/>
      <c r="P839" s="55"/>
      <c r="Q839" s="55"/>
      <c r="R839" s="14"/>
      <c r="S839" s="14"/>
    </row>
    <row r="840" spans="2:19" ht="12.95" hidden="1" customHeight="1" x14ac:dyDescent="0.25">
      <c r="B840" s="16">
        <v>42915</v>
      </c>
      <c r="C840" s="50" t="s">
        <v>806</v>
      </c>
      <c r="D840" s="77"/>
      <c r="E840" s="77">
        <v>8300000</v>
      </c>
      <c r="F840" s="18"/>
      <c r="G840" s="49">
        <f t="shared" si="142"/>
        <v>8300000</v>
      </c>
      <c r="H840" s="64">
        <v>198781.5</v>
      </c>
      <c r="I840" s="64">
        <v>303466.65999999997</v>
      </c>
      <c r="J840" s="64">
        <v>59695.55</v>
      </c>
      <c r="K840" s="18">
        <f t="shared" si="143"/>
        <v>7738056.29</v>
      </c>
      <c r="L840" s="19">
        <f t="shared" si="144"/>
        <v>66400000</v>
      </c>
      <c r="M840" s="20"/>
      <c r="N840" s="20"/>
      <c r="P840" s="55"/>
      <c r="Q840" s="55"/>
      <c r="R840" s="14"/>
      <c r="S840" s="14"/>
    </row>
    <row r="841" spans="2:19" ht="12.95" hidden="1" customHeight="1" x14ac:dyDescent="0.25">
      <c r="B841" s="16">
        <v>42958</v>
      </c>
      <c r="C841" s="50" t="s">
        <v>807</v>
      </c>
      <c r="D841" s="77"/>
      <c r="E841" s="77">
        <v>8300000</v>
      </c>
      <c r="F841" s="18"/>
      <c r="G841" s="49">
        <f t="shared" si="142"/>
        <v>8300000</v>
      </c>
      <c r="H841" s="64">
        <v>198781.5</v>
      </c>
      <c r="I841" s="64">
        <v>303466.65999999997</v>
      </c>
      <c r="J841" s="64">
        <v>59695.55</v>
      </c>
      <c r="K841" s="18">
        <f t="shared" si="143"/>
        <v>7738056.29</v>
      </c>
      <c r="L841" s="19">
        <f t="shared" si="144"/>
        <v>58100000</v>
      </c>
      <c r="M841" s="20"/>
      <c r="N841" s="20"/>
      <c r="P841" s="55"/>
      <c r="Q841" s="55"/>
      <c r="R841" s="14"/>
      <c r="S841" s="14"/>
    </row>
    <row r="842" spans="2:19" ht="12.95" hidden="1" customHeight="1" x14ac:dyDescent="0.25">
      <c r="B842" s="16">
        <v>43054</v>
      </c>
      <c r="C842" s="50" t="s">
        <v>808</v>
      </c>
      <c r="D842" s="77"/>
      <c r="E842" s="77">
        <v>8300000</v>
      </c>
      <c r="F842" s="18"/>
      <c r="G842" s="49">
        <f t="shared" si="142"/>
        <v>8300000</v>
      </c>
      <c r="H842" s="64">
        <v>198781.5</v>
      </c>
      <c r="I842" s="64">
        <v>303466.65999999997</v>
      </c>
      <c r="J842" s="64">
        <v>59695.55</v>
      </c>
      <c r="K842" s="18">
        <f t="shared" si="143"/>
        <v>7738056.29</v>
      </c>
      <c r="L842" s="19">
        <f t="shared" si="144"/>
        <v>49800000</v>
      </c>
      <c r="M842" s="20"/>
      <c r="N842" s="20"/>
      <c r="P842" s="55"/>
      <c r="Q842" s="55"/>
      <c r="R842" s="14"/>
      <c r="S842" s="14"/>
    </row>
    <row r="843" spans="2:19" ht="12.95" hidden="1" customHeight="1" x14ac:dyDescent="0.25">
      <c r="B843" s="16">
        <v>43068.125</v>
      </c>
      <c r="C843" s="50" t="s">
        <v>809</v>
      </c>
      <c r="D843" s="77"/>
      <c r="E843" s="77">
        <v>8300000</v>
      </c>
      <c r="F843" s="18"/>
      <c r="G843" s="49">
        <f t="shared" si="142"/>
        <v>8300000</v>
      </c>
      <c r="H843" s="64">
        <v>198781.5</v>
      </c>
      <c r="I843" s="64">
        <v>303466.65999999997</v>
      </c>
      <c r="J843" s="64">
        <v>59695.55</v>
      </c>
      <c r="K843" s="18">
        <f t="shared" si="143"/>
        <v>7738056.29</v>
      </c>
      <c r="L843" s="19">
        <f t="shared" si="144"/>
        <v>41500000</v>
      </c>
      <c r="M843" s="20"/>
      <c r="N843" s="20"/>
      <c r="P843" s="55"/>
      <c r="Q843" s="55"/>
      <c r="R843" s="14"/>
      <c r="S843" s="14"/>
    </row>
    <row r="844" spans="2:19" ht="12.95" hidden="1" customHeight="1" x14ac:dyDescent="0.25">
      <c r="B844" s="16">
        <v>43070.125</v>
      </c>
      <c r="C844" s="50" t="s">
        <v>810</v>
      </c>
      <c r="D844" s="77"/>
      <c r="E844" s="77">
        <v>8300000</v>
      </c>
      <c r="F844" s="18"/>
      <c r="G844" s="49">
        <f t="shared" si="142"/>
        <v>8300000</v>
      </c>
      <c r="H844" s="64">
        <v>198781.5</v>
      </c>
      <c r="I844" s="64">
        <v>303466.65999999997</v>
      </c>
      <c r="J844" s="64">
        <v>59695.55</v>
      </c>
      <c r="K844" s="18">
        <f t="shared" si="143"/>
        <v>7738056.29</v>
      </c>
      <c r="L844" s="19">
        <f t="shared" si="144"/>
        <v>33200000</v>
      </c>
      <c r="M844" s="20"/>
      <c r="N844" s="20"/>
      <c r="P844" s="55"/>
      <c r="Q844" s="55"/>
      <c r="R844" s="14"/>
      <c r="S844" s="14"/>
    </row>
    <row r="845" spans="2:19" ht="12.95" hidden="1" customHeight="1" x14ac:dyDescent="0.25">
      <c r="B845" s="16">
        <v>43095.125</v>
      </c>
      <c r="C845" s="50" t="s">
        <v>811</v>
      </c>
      <c r="D845" s="77"/>
      <c r="E845" s="77">
        <v>8300000</v>
      </c>
      <c r="F845" s="18"/>
      <c r="G845" s="49">
        <f t="shared" si="142"/>
        <v>8300000</v>
      </c>
      <c r="H845" s="64">
        <v>198781.5</v>
      </c>
      <c r="I845" s="64">
        <v>303466.65999999997</v>
      </c>
      <c r="J845" s="64">
        <v>59695.55</v>
      </c>
      <c r="K845" s="18">
        <f t="shared" si="143"/>
        <v>7738056.29</v>
      </c>
      <c r="L845" s="19">
        <f t="shared" si="144"/>
        <v>24900000</v>
      </c>
      <c r="M845" s="20"/>
      <c r="N845" s="20"/>
      <c r="P845" s="55"/>
      <c r="Q845" s="55"/>
      <c r="R845" s="14"/>
      <c r="S845" s="14"/>
    </row>
    <row r="846" spans="2:19" ht="12.95" hidden="1" customHeight="1" x14ac:dyDescent="0.25">
      <c r="B846" s="16">
        <v>43095.125</v>
      </c>
      <c r="C846" s="50" t="s">
        <v>812</v>
      </c>
      <c r="D846" s="77"/>
      <c r="E846" s="77">
        <v>8300000</v>
      </c>
      <c r="F846" s="18"/>
      <c r="G846" s="49">
        <f t="shared" si="142"/>
        <v>8300000</v>
      </c>
      <c r="H846" s="64">
        <v>198781.5</v>
      </c>
      <c r="I846" s="64">
        <v>303466.65999999997</v>
      </c>
      <c r="J846" s="64">
        <v>59695.55</v>
      </c>
      <c r="K846" s="18">
        <f t="shared" si="143"/>
        <v>7738056.29</v>
      </c>
      <c r="L846" s="19">
        <f t="shared" si="144"/>
        <v>16600000</v>
      </c>
      <c r="M846" s="20"/>
      <c r="N846" s="20"/>
      <c r="P846" s="55"/>
      <c r="Q846" s="55"/>
      <c r="R846" s="14"/>
      <c r="S846" s="14"/>
    </row>
    <row r="847" spans="2:19" ht="12.95" hidden="1" customHeight="1" x14ac:dyDescent="0.25">
      <c r="B847" s="16">
        <v>43171.083333333336</v>
      </c>
      <c r="C847" s="50" t="s">
        <v>813</v>
      </c>
      <c r="D847" s="77"/>
      <c r="E847" s="77">
        <v>8023333</v>
      </c>
      <c r="F847" s="18"/>
      <c r="G847" s="49">
        <f>+E847</f>
        <v>8023333</v>
      </c>
      <c r="H847" s="64">
        <v>192155.4</v>
      </c>
      <c r="I847" s="64">
        <v>250773.65</v>
      </c>
      <c r="J847" s="64">
        <v>57705.7</v>
      </c>
      <c r="K847" s="18">
        <f>+G847-H847-I847-J847</f>
        <v>7522698.2499999991</v>
      </c>
      <c r="L847" s="19">
        <f>+L846-G847</f>
        <v>8576667</v>
      </c>
      <c r="M847" s="20"/>
      <c r="N847" s="20"/>
      <c r="O847" s="81"/>
      <c r="P847" s="55"/>
      <c r="Q847" s="55"/>
      <c r="R847" s="14"/>
      <c r="S847" s="14"/>
    </row>
    <row r="848" spans="2:19" ht="12.95" hidden="1" customHeight="1" x14ac:dyDescent="0.25">
      <c r="B848" s="9" t="s">
        <v>814</v>
      </c>
      <c r="C848" s="10"/>
      <c r="D848" s="11">
        <v>36000000</v>
      </c>
      <c r="E848" s="11">
        <f>+D848</f>
        <v>36000000</v>
      </c>
      <c r="F848" s="11"/>
      <c r="G848" s="11"/>
      <c r="H848" s="11"/>
      <c r="I848" s="11"/>
      <c r="J848" s="11"/>
      <c r="K848" s="11"/>
      <c r="L848" s="11">
        <f>+D848</f>
        <v>36000000</v>
      </c>
      <c r="M848" s="12"/>
      <c r="N848" s="12"/>
      <c r="P848" s="55"/>
      <c r="Q848" s="55"/>
      <c r="R848" s="14"/>
      <c r="S848" s="14"/>
    </row>
    <row r="849" spans="2:19" ht="12.95" hidden="1" customHeight="1" x14ac:dyDescent="0.25">
      <c r="B849" s="16">
        <v>42913</v>
      </c>
      <c r="C849" s="50" t="s">
        <v>815</v>
      </c>
      <c r="D849" s="77"/>
      <c r="E849" s="77">
        <v>4000000</v>
      </c>
      <c r="F849" s="18"/>
      <c r="G849" s="49">
        <f t="shared" ref="G849:G857" si="145">+E849</f>
        <v>4000000</v>
      </c>
      <c r="H849" s="64"/>
      <c r="I849" s="64"/>
      <c r="J849" s="64">
        <v>38640</v>
      </c>
      <c r="K849" s="18">
        <f t="shared" ref="K849:K857" si="146">+G849-H849-I849-J849</f>
        <v>3961360</v>
      </c>
      <c r="L849" s="19">
        <f t="shared" ref="L849:L857" si="147">+L848-G849</f>
        <v>32000000</v>
      </c>
      <c r="M849" s="20"/>
      <c r="N849" s="20"/>
      <c r="P849" s="55"/>
      <c r="Q849" s="55"/>
      <c r="R849" s="14"/>
      <c r="S849" s="14"/>
    </row>
    <row r="850" spans="2:19" ht="12.95" hidden="1" customHeight="1" x14ac:dyDescent="0.25">
      <c r="B850" s="16">
        <v>42944</v>
      </c>
      <c r="C850" s="50" t="s">
        <v>816</v>
      </c>
      <c r="D850" s="77"/>
      <c r="E850" s="77">
        <v>4000000</v>
      </c>
      <c r="F850" s="18"/>
      <c r="G850" s="49">
        <f t="shared" si="145"/>
        <v>4000000</v>
      </c>
      <c r="H850" s="64"/>
      <c r="I850" s="64"/>
      <c r="J850" s="64">
        <v>38640</v>
      </c>
      <c r="K850" s="18">
        <f t="shared" si="146"/>
        <v>3961360</v>
      </c>
      <c r="L850" s="19">
        <f t="shared" si="147"/>
        <v>28000000</v>
      </c>
      <c r="M850" s="20"/>
      <c r="N850" s="20"/>
      <c r="P850" s="55"/>
      <c r="Q850" s="55"/>
      <c r="R850" s="14"/>
      <c r="S850" s="14"/>
    </row>
    <row r="851" spans="2:19" ht="12.95" hidden="1" customHeight="1" x14ac:dyDescent="0.25">
      <c r="B851" s="16">
        <v>42949</v>
      </c>
      <c r="C851" s="50" t="s">
        <v>817</v>
      </c>
      <c r="D851" s="77"/>
      <c r="E851" s="77">
        <v>4000000</v>
      </c>
      <c r="F851" s="18"/>
      <c r="G851" s="49">
        <f t="shared" si="145"/>
        <v>4000000</v>
      </c>
      <c r="H851" s="64"/>
      <c r="I851" s="64"/>
      <c r="J851" s="64">
        <v>38640</v>
      </c>
      <c r="K851" s="18">
        <f t="shared" si="146"/>
        <v>3961360</v>
      </c>
      <c r="L851" s="19">
        <f t="shared" si="147"/>
        <v>24000000</v>
      </c>
      <c r="M851" s="20"/>
      <c r="N851" s="20"/>
      <c r="P851" s="55"/>
      <c r="Q851" s="55"/>
      <c r="R851" s="14"/>
      <c r="S851" s="14"/>
    </row>
    <row r="852" spans="2:19" ht="12.95" hidden="1" customHeight="1" x14ac:dyDescent="0.25">
      <c r="B852" s="16">
        <v>42993</v>
      </c>
      <c r="C852" s="50" t="s">
        <v>818</v>
      </c>
      <c r="D852" s="77"/>
      <c r="E852" s="77">
        <v>4000000</v>
      </c>
      <c r="F852" s="18"/>
      <c r="G852" s="49">
        <f t="shared" si="145"/>
        <v>4000000</v>
      </c>
      <c r="H852" s="64"/>
      <c r="I852" s="64"/>
      <c r="J852" s="64">
        <v>38640</v>
      </c>
      <c r="K852" s="18">
        <f t="shared" si="146"/>
        <v>3961360</v>
      </c>
      <c r="L852" s="19">
        <f t="shared" si="147"/>
        <v>20000000</v>
      </c>
      <c r="M852" s="20"/>
      <c r="N852" s="20"/>
      <c r="P852" s="55"/>
      <c r="Q852" s="55"/>
      <c r="R852" s="14"/>
      <c r="S852" s="14"/>
    </row>
    <row r="853" spans="2:19" ht="12.95" hidden="1" customHeight="1" x14ac:dyDescent="0.25">
      <c r="B853" s="16">
        <v>43010</v>
      </c>
      <c r="C853" s="50" t="s">
        <v>819</v>
      </c>
      <c r="D853" s="77"/>
      <c r="E853" s="77">
        <v>4000000</v>
      </c>
      <c r="F853" s="18"/>
      <c r="G853" s="49">
        <f t="shared" si="145"/>
        <v>4000000</v>
      </c>
      <c r="H853" s="64">
        <v>0</v>
      </c>
      <c r="I853" s="64">
        <v>0</v>
      </c>
      <c r="J853" s="64">
        <v>38640</v>
      </c>
      <c r="K853" s="18">
        <f t="shared" si="146"/>
        <v>3961360</v>
      </c>
      <c r="L853" s="19">
        <f t="shared" si="147"/>
        <v>16000000</v>
      </c>
      <c r="M853" s="20"/>
      <c r="N853" s="20"/>
      <c r="P853" s="55"/>
      <c r="Q853" s="55"/>
      <c r="R853" s="14"/>
      <c r="S853" s="14"/>
    </row>
    <row r="854" spans="2:19" ht="12.95" hidden="1" customHeight="1" x14ac:dyDescent="0.25">
      <c r="B854" s="16">
        <v>43082.125</v>
      </c>
      <c r="C854" s="50" t="s">
        <v>820</v>
      </c>
      <c r="D854" s="77"/>
      <c r="E854" s="77">
        <v>4000000</v>
      </c>
      <c r="F854" s="18"/>
      <c r="G854" s="49">
        <f t="shared" si="145"/>
        <v>4000000</v>
      </c>
      <c r="H854" s="64"/>
      <c r="I854" s="64"/>
      <c r="J854" s="64">
        <v>38640</v>
      </c>
      <c r="K854" s="18">
        <f t="shared" si="146"/>
        <v>3961360</v>
      </c>
      <c r="L854" s="19">
        <f t="shared" si="147"/>
        <v>12000000</v>
      </c>
      <c r="M854" s="20"/>
      <c r="N854" s="20"/>
      <c r="P854" s="55"/>
      <c r="Q854" s="55"/>
      <c r="R854" s="14"/>
      <c r="S854" s="14"/>
    </row>
    <row r="855" spans="2:19" ht="12.95" hidden="1" customHeight="1" x14ac:dyDescent="0.25">
      <c r="B855" s="16">
        <v>43082.125</v>
      </c>
      <c r="C855" s="50" t="s">
        <v>821</v>
      </c>
      <c r="D855" s="77"/>
      <c r="E855" s="77">
        <v>4000000</v>
      </c>
      <c r="F855" s="18"/>
      <c r="G855" s="49">
        <f t="shared" si="145"/>
        <v>4000000</v>
      </c>
      <c r="H855" s="64"/>
      <c r="I855" s="64"/>
      <c r="J855" s="64">
        <v>38640</v>
      </c>
      <c r="K855" s="18">
        <f t="shared" si="146"/>
        <v>3961360</v>
      </c>
      <c r="L855" s="19">
        <f t="shared" si="147"/>
        <v>8000000</v>
      </c>
      <c r="M855" s="20"/>
      <c r="N855" s="20"/>
      <c r="P855" s="55"/>
      <c r="Q855" s="55"/>
      <c r="R855" s="14"/>
      <c r="S855" s="14"/>
    </row>
    <row r="856" spans="2:19" ht="12.95" hidden="1" customHeight="1" x14ac:dyDescent="0.25">
      <c r="B856" s="16">
        <v>43105.125</v>
      </c>
      <c r="C856" s="50" t="s">
        <v>822</v>
      </c>
      <c r="D856" s="77"/>
      <c r="E856" s="77">
        <v>4000000</v>
      </c>
      <c r="F856" s="18"/>
      <c r="G856" s="49">
        <f t="shared" si="145"/>
        <v>4000000</v>
      </c>
      <c r="H856" s="64">
        <v>0</v>
      </c>
      <c r="I856" s="64">
        <v>0</v>
      </c>
      <c r="J856" s="64">
        <v>38640</v>
      </c>
      <c r="K856" s="18">
        <f t="shared" si="146"/>
        <v>3961360</v>
      </c>
      <c r="L856" s="19">
        <f t="shared" si="147"/>
        <v>4000000</v>
      </c>
      <c r="M856" s="20"/>
      <c r="N856" s="20"/>
      <c r="P856" s="55"/>
      <c r="Q856" s="55"/>
      <c r="R856" s="14"/>
      <c r="S856" s="14"/>
    </row>
    <row r="857" spans="2:19" ht="12.95" hidden="1" customHeight="1" x14ac:dyDescent="0.25">
      <c r="B857" s="16">
        <v>43124.125</v>
      </c>
      <c r="C857" s="50" t="s">
        <v>823</v>
      </c>
      <c r="D857" s="77"/>
      <c r="E857" s="77">
        <v>4000000</v>
      </c>
      <c r="F857" s="18"/>
      <c r="G857" s="49">
        <f t="shared" si="145"/>
        <v>4000000</v>
      </c>
      <c r="H857" s="64">
        <v>0</v>
      </c>
      <c r="I857" s="64">
        <v>0</v>
      </c>
      <c r="J857" s="64">
        <v>38640</v>
      </c>
      <c r="K857" s="18">
        <f t="shared" si="146"/>
        <v>3961360</v>
      </c>
      <c r="L857" s="19">
        <f t="shared" si="147"/>
        <v>0</v>
      </c>
      <c r="M857" s="20"/>
      <c r="N857" s="20"/>
      <c r="P857" s="55"/>
      <c r="Q857" s="55"/>
      <c r="R857" s="14"/>
      <c r="S857" s="14"/>
    </row>
    <row r="858" spans="2:19" ht="12.95" hidden="1" customHeight="1" x14ac:dyDescent="0.25">
      <c r="B858" s="9" t="s">
        <v>824</v>
      </c>
      <c r="C858" s="10"/>
      <c r="D858" s="11">
        <v>1500000000</v>
      </c>
      <c r="E858" s="11">
        <f>+D858</f>
        <v>1500000000</v>
      </c>
      <c r="F858" s="11"/>
      <c r="G858" s="11"/>
      <c r="H858" s="11"/>
      <c r="I858" s="11"/>
      <c r="J858" s="11"/>
      <c r="K858" s="11"/>
      <c r="L858" s="11">
        <f>+D858</f>
        <v>1500000000</v>
      </c>
      <c r="M858" s="12"/>
      <c r="N858" s="12"/>
      <c r="P858" s="55"/>
      <c r="Q858" s="55"/>
      <c r="R858" s="14"/>
      <c r="S858" s="14"/>
    </row>
    <row r="859" spans="2:19" ht="12.95" hidden="1" customHeight="1" x14ac:dyDescent="0.25">
      <c r="B859" s="16">
        <v>42916</v>
      </c>
      <c r="C859" s="50" t="s">
        <v>825</v>
      </c>
      <c r="D859" s="77"/>
      <c r="E859" s="77">
        <v>600000000</v>
      </c>
      <c r="F859" s="18"/>
      <c r="G859" s="49">
        <f>+E859</f>
        <v>600000000</v>
      </c>
      <c r="H859" s="64"/>
      <c r="I859" s="64"/>
      <c r="J859" s="64"/>
      <c r="K859" s="18">
        <f>+G859-H859-I859-J859</f>
        <v>600000000</v>
      </c>
      <c r="L859" s="19">
        <f>+L858-G859</f>
        <v>900000000</v>
      </c>
      <c r="M859" s="20"/>
      <c r="N859" s="20"/>
      <c r="P859" s="55"/>
      <c r="Q859" s="55"/>
      <c r="R859" s="14"/>
      <c r="S859" s="14"/>
    </row>
    <row r="860" spans="2:19" ht="12.95" hidden="1" customHeight="1" x14ac:dyDescent="0.25">
      <c r="B860" s="16">
        <v>43068.125</v>
      </c>
      <c r="C860" s="50" t="s">
        <v>826</v>
      </c>
      <c r="D860" s="77"/>
      <c r="E860" s="77">
        <v>600000000</v>
      </c>
      <c r="F860" s="18"/>
      <c r="G860" s="49">
        <f>+E860</f>
        <v>600000000</v>
      </c>
      <c r="H860" s="64"/>
      <c r="I860" s="64"/>
      <c r="J860" s="64"/>
      <c r="K860" s="18">
        <f>+G860-H860-I860-J860</f>
        <v>600000000</v>
      </c>
      <c r="L860" s="19">
        <f>+L859-G860</f>
        <v>300000000</v>
      </c>
      <c r="M860" s="20"/>
      <c r="N860" s="20"/>
      <c r="P860" s="55"/>
      <c r="Q860" s="55"/>
      <c r="R860" s="14"/>
      <c r="S860" s="14"/>
    </row>
    <row r="861" spans="2:19" ht="12.95" hidden="1" customHeight="1" x14ac:dyDescent="0.25">
      <c r="B861" s="16">
        <v>43187.083333333336</v>
      </c>
      <c r="C861" s="50" t="s">
        <v>827</v>
      </c>
      <c r="D861" s="77"/>
      <c r="E861" s="77">
        <v>300000000</v>
      </c>
      <c r="F861" s="18"/>
      <c r="G861" s="49">
        <f>+E861</f>
        <v>300000000</v>
      </c>
      <c r="H861" s="64"/>
      <c r="I861" s="64"/>
      <c r="J861" s="64"/>
      <c r="K861" s="18">
        <f>+G861-H861-I861-J861</f>
        <v>300000000</v>
      </c>
      <c r="L861" s="19">
        <f>+L860-G861</f>
        <v>0</v>
      </c>
      <c r="M861" s="20"/>
      <c r="N861" s="20"/>
      <c r="P861" s="55"/>
      <c r="Q861" s="55"/>
      <c r="R861" s="14"/>
      <c r="S861" s="14"/>
    </row>
    <row r="862" spans="2:19" ht="12.95" hidden="1" customHeight="1" x14ac:dyDescent="0.25">
      <c r="B862" s="9" t="s">
        <v>828</v>
      </c>
      <c r="C862" s="10"/>
      <c r="D862" s="10">
        <v>107500000</v>
      </c>
      <c r="E862" s="11">
        <f>+D862</f>
        <v>107500000</v>
      </c>
      <c r="F862" s="272"/>
      <c r="G862" s="272"/>
      <c r="H862" s="272"/>
      <c r="I862" s="272"/>
      <c r="J862" s="272"/>
      <c r="K862" s="272"/>
      <c r="L862" s="11">
        <f>+D862</f>
        <v>107500000</v>
      </c>
      <c r="M862" s="12"/>
      <c r="N862" s="12"/>
      <c r="P862" s="55"/>
      <c r="Q862" s="55"/>
      <c r="R862" s="14"/>
      <c r="S862" s="14"/>
    </row>
    <row r="863" spans="2:19" ht="12.95" hidden="1" customHeight="1" x14ac:dyDescent="0.25">
      <c r="B863" s="16">
        <v>42921</v>
      </c>
      <c r="C863" s="50" t="s">
        <v>829</v>
      </c>
      <c r="D863" s="34"/>
      <c r="E863" s="18">
        <v>7500000</v>
      </c>
      <c r="F863" s="18"/>
      <c r="G863" s="18">
        <f t="shared" ref="G863:G874" si="148">+E863</f>
        <v>7500000</v>
      </c>
      <c r="H863" s="64">
        <v>0</v>
      </c>
      <c r="I863" s="64">
        <v>372664.98</v>
      </c>
      <c r="J863" s="64">
        <v>64190.7</v>
      </c>
      <c r="K863" s="18">
        <f t="shared" ref="K863:K874" si="149">+G863-H863-I863-J863</f>
        <v>7063144.3199999994</v>
      </c>
      <c r="L863" s="19">
        <f t="shared" ref="L863:L874" si="150">+L862-G863</f>
        <v>100000000</v>
      </c>
      <c r="M863" s="20"/>
      <c r="N863" s="20"/>
      <c r="P863" s="55"/>
      <c r="Q863" s="55"/>
      <c r="R863" s="14"/>
      <c r="S863" s="14"/>
    </row>
    <row r="864" spans="2:19" ht="12.95" hidden="1" customHeight="1" x14ac:dyDescent="0.25">
      <c r="B864" s="16">
        <v>42921</v>
      </c>
      <c r="C864" s="50" t="s">
        <v>830</v>
      </c>
      <c r="D864" s="34"/>
      <c r="E864" s="18">
        <v>7500000</v>
      </c>
      <c r="F864" s="18"/>
      <c r="G864" s="18">
        <f t="shared" si="148"/>
        <v>7500000</v>
      </c>
      <c r="H864" s="64">
        <v>0</v>
      </c>
      <c r="I864" s="64">
        <v>555512</v>
      </c>
      <c r="J864" s="64">
        <v>72450</v>
      </c>
      <c r="K864" s="18">
        <f t="shared" si="149"/>
        <v>6872038</v>
      </c>
      <c r="L864" s="19">
        <f t="shared" si="150"/>
        <v>92500000</v>
      </c>
      <c r="M864" s="20"/>
      <c r="N864" s="20"/>
      <c r="P864" s="55"/>
      <c r="Q864" s="55"/>
      <c r="R864" s="14"/>
      <c r="S864" s="14"/>
    </row>
    <row r="865" spans="2:19" ht="12.95" hidden="1" customHeight="1" x14ac:dyDescent="0.25">
      <c r="B865" s="16">
        <v>42921</v>
      </c>
      <c r="C865" s="50" t="s">
        <v>831</v>
      </c>
      <c r="D865" s="34"/>
      <c r="E865" s="18">
        <v>7500000</v>
      </c>
      <c r="F865" s="18"/>
      <c r="G865" s="18">
        <f t="shared" si="148"/>
        <v>7500000</v>
      </c>
      <c r="H865" s="64">
        <v>0</v>
      </c>
      <c r="I865" s="64">
        <v>555512</v>
      </c>
      <c r="J865" s="64">
        <v>72450</v>
      </c>
      <c r="K865" s="18">
        <f t="shared" si="149"/>
        <v>6872038</v>
      </c>
      <c r="L865" s="19">
        <f t="shared" si="150"/>
        <v>85000000</v>
      </c>
      <c r="M865" s="20"/>
      <c r="N865" s="20"/>
      <c r="P865" s="55"/>
      <c r="Q865" s="55"/>
      <c r="R865" s="14"/>
      <c r="S865" s="14"/>
    </row>
    <row r="866" spans="2:19" ht="12.95" hidden="1" customHeight="1" x14ac:dyDescent="0.25">
      <c r="B866" s="16">
        <v>42922</v>
      </c>
      <c r="C866" s="50" t="s">
        <v>832</v>
      </c>
      <c r="D866" s="34"/>
      <c r="E866" s="18">
        <v>7500000</v>
      </c>
      <c r="F866" s="18"/>
      <c r="G866" s="18">
        <f t="shared" si="148"/>
        <v>7500000</v>
      </c>
      <c r="H866" s="64">
        <v>0</v>
      </c>
      <c r="I866" s="64">
        <v>555512</v>
      </c>
      <c r="J866" s="64">
        <v>72450</v>
      </c>
      <c r="K866" s="18">
        <f t="shared" si="149"/>
        <v>6872038</v>
      </c>
      <c r="L866" s="19">
        <f t="shared" si="150"/>
        <v>77500000</v>
      </c>
      <c r="M866" s="20"/>
      <c r="N866" s="20"/>
      <c r="P866" s="55"/>
      <c r="Q866" s="55"/>
      <c r="R866" s="14"/>
      <c r="S866" s="14"/>
    </row>
    <row r="867" spans="2:19" ht="12.95" hidden="1" customHeight="1" x14ac:dyDescent="0.25">
      <c r="B867" s="16">
        <v>42958</v>
      </c>
      <c r="C867" s="50" t="s">
        <v>833</v>
      </c>
      <c r="D867" s="34"/>
      <c r="E867" s="18">
        <v>7500000</v>
      </c>
      <c r="F867" s="18"/>
      <c r="G867" s="18">
        <f t="shared" si="148"/>
        <v>7500000</v>
      </c>
      <c r="H867" s="64">
        <v>0</v>
      </c>
      <c r="I867" s="64">
        <v>372664.98</v>
      </c>
      <c r="J867" s="64">
        <v>64190.7</v>
      </c>
      <c r="K867" s="18">
        <f t="shared" si="149"/>
        <v>7063144.3199999994</v>
      </c>
      <c r="L867" s="19">
        <f t="shared" si="150"/>
        <v>70000000</v>
      </c>
      <c r="M867" s="20"/>
      <c r="N867" s="20"/>
      <c r="P867" s="55"/>
      <c r="Q867" s="55"/>
      <c r="R867" s="14"/>
      <c r="S867" s="14"/>
    </row>
    <row r="868" spans="2:19" ht="12.95" hidden="1" customHeight="1" x14ac:dyDescent="0.25">
      <c r="B868" s="16">
        <v>43013</v>
      </c>
      <c r="C868" s="50" t="s">
        <v>834</v>
      </c>
      <c r="D868" s="34"/>
      <c r="E868" s="18">
        <v>7500000</v>
      </c>
      <c r="F868" s="18"/>
      <c r="G868" s="18">
        <f t="shared" si="148"/>
        <v>7500000</v>
      </c>
      <c r="H868" s="64">
        <v>0</v>
      </c>
      <c r="I868" s="64">
        <v>555512</v>
      </c>
      <c r="J868" s="64">
        <v>72450</v>
      </c>
      <c r="K868" s="18">
        <f t="shared" si="149"/>
        <v>6872038</v>
      </c>
      <c r="L868" s="19">
        <f t="shared" si="150"/>
        <v>62500000</v>
      </c>
      <c r="M868" s="20"/>
      <c r="N868" s="20"/>
      <c r="P868" s="55"/>
      <c r="Q868" s="55"/>
      <c r="R868" s="14"/>
      <c r="S868" s="14"/>
    </row>
    <row r="869" spans="2:19" ht="12.95" hidden="1" customHeight="1" x14ac:dyDescent="0.25">
      <c r="B869" s="16">
        <v>43081.125</v>
      </c>
      <c r="C869" s="50" t="s">
        <v>835</v>
      </c>
      <c r="D869" s="34"/>
      <c r="E869" s="18">
        <v>7500000</v>
      </c>
      <c r="F869" s="18"/>
      <c r="G869" s="18">
        <f t="shared" si="148"/>
        <v>7500000</v>
      </c>
      <c r="H869" s="64"/>
      <c r="I869" s="64">
        <v>262745.31</v>
      </c>
      <c r="J869" s="64">
        <v>64190.7</v>
      </c>
      <c r="K869" s="18">
        <f t="shared" si="149"/>
        <v>7173063.9900000002</v>
      </c>
      <c r="L869" s="19">
        <f t="shared" si="150"/>
        <v>55000000</v>
      </c>
      <c r="M869" s="20"/>
      <c r="N869" s="20"/>
      <c r="P869" s="55"/>
      <c r="Q869" s="55"/>
      <c r="R869" s="14"/>
      <c r="S869" s="14"/>
    </row>
    <row r="870" spans="2:19" ht="12.95" hidden="1" customHeight="1" x14ac:dyDescent="0.25">
      <c r="B870" s="16">
        <v>43151.125</v>
      </c>
      <c r="C870" s="50" t="s">
        <v>836</v>
      </c>
      <c r="D870" s="34"/>
      <c r="E870" s="18">
        <v>7500000</v>
      </c>
      <c r="F870" s="18"/>
      <c r="G870" s="18">
        <f t="shared" si="148"/>
        <v>7500000</v>
      </c>
      <c r="H870" s="64"/>
      <c r="I870" s="64">
        <v>239334.46</v>
      </c>
      <c r="J870" s="64">
        <v>64190.7</v>
      </c>
      <c r="K870" s="18">
        <f t="shared" si="149"/>
        <v>7196474.8399999999</v>
      </c>
      <c r="L870" s="19">
        <f t="shared" si="150"/>
        <v>47500000</v>
      </c>
      <c r="M870" s="20"/>
      <c r="N870" s="20"/>
      <c r="P870" s="55"/>
      <c r="Q870" s="55"/>
      <c r="R870" s="14"/>
      <c r="S870" s="14"/>
    </row>
    <row r="871" spans="2:19" ht="12.95" hidden="1" customHeight="1" x14ac:dyDescent="0.25">
      <c r="B871" s="16">
        <v>43151.125</v>
      </c>
      <c r="C871" s="50" t="s">
        <v>837</v>
      </c>
      <c r="D871" s="34"/>
      <c r="E871" s="18">
        <v>7500000</v>
      </c>
      <c r="F871" s="18"/>
      <c r="G871" s="18">
        <f t="shared" si="148"/>
        <v>7500000</v>
      </c>
      <c r="H871" s="64"/>
      <c r="I871" s="64">
        <v>239334.46</v>
      </c>
      <c r="J871" s="64">
        <v>64190.7</v>
      </c>
      <c r="K871" s="18">
        <f t="shared" si="149"/>
        <v>7196474.8399999999</v>
      </c>
      <c r="L871" s="19">
        <f t="shared" si="150"/>
        <v>40000000</v>
      </c>
      <c r="M871" s="20"/>
      <c r="N871" s="20"/>
      <c r="P871" s="55"/>
      <c r="Q871" s="55"/>
      <c r="R871" s="14"/>
      <c r="S871" s="14"/>
    </row>
    <row r="872" spans="2:19" ht="12.95" hidden="1" customHeight="1" x14ac:dyDescent="0.25">
      <c r="B872" s="16">
        <v>43150.125</v>
      </c>
      <c r="C872" s="50" t="s">
        <v>838</v>
      </c>
      <c r="D872" s="34"/>
      <c r="E872" s="18">
        <v>7500000</v>
      </c>
      <c r="F872" s="18"/>
      <c r="G872" s="18">
        <f t="shared" si="148"/>
        <v>7500000</v>
      </c>
      <c r="H872" s="64"/>
      <c r="I872" s="64">
        <v>239334.46</v>
      </c>
      <c r="J872" s="64">
        <v>64190.7</v>
      </c>
      <c r="K872" s="18">
        <f t="shared" si="149"/>
        <v>7196474.8399999999</v>
      </c>
      <c r="L872" s="19">
        <f t="shared" si="150"/>
        <v>32500000</v>
      </c>
      <c r="M872" s="20"/>
      <c r="N872" s="20"/>
      <c r="P872" s="55"/>
      <c r="Q872" s="55"/>
      <c r="R872" s="14"/>
      <c r="S872" s="14"/>
    </row>
    <row r="873" spans="2:19" ht="12.95" hidden="1" customHeight="1" x14ac:dyDescent="0.25">
      <c r="B873" s="16">
        <v>43154.125</v>
      </c>
      <c r="C873" s="50" t="s">
        <v>839</v>
      </c>
      <c r="D873" s="34"/>
      <c r="E873" s="18">
        <v>4750000</v>
      </c>
      <c r="F873" s="18"/>
      <c r="G873" s="18">
        <f t="shared" si="148"/>
        <v>4750000</v>
      </c>
      <c r="H873" s="64"/>
      <c r="I873" s="64"/>
      <c r="J873" s="64">
        <v>40654.11</v>
      </c>
      <c r="K873" s="18">
        <f t="shared" si="149"/>
        <v>4709345.8899999997</v>
      </c>
      <c r="L873" s="19">
        <f t="shared" si="150"/>
        <v>27750000</v>
      </c>
      <c r="M873" s="20"/>
      <c r="N873" s="20"/>
      <c r="P873" s="55"/>
      <c r="Q873" s="55"/>
      <c r="R873" s="14"/>
      <c r="S873" s="14"/>
    </row>
    <row r="874" spans="2:19" ht="12.95" hidden="1" customHeight="1" x14ac:dyDescent="0.25">
      <c r="B874" s="16">
        <v>43154.125</v>
      </c>
      <c r="C874" s="50" t="s">
        <v>166</v>
      </c>
      <c r="D874" s="34"/>
      <c r="E874" s="18">
        <v>27750000</v>
      </c>
      <c r="F874" s="18"/>
      <c r="G874" s="18">
        <f t="shared" si="148"/>
        <v>27750000</v>
      </c>
      <c r="H874" s="64"/>
      <c r="I874" s="64"/>
      <c r="J874" s="64">
        <v>0</v>
      </c>
      <c r="K874" s="18">
        <f t="shared" si="149"/>
        <v>27750000</v>
      </c>
      <c r="L874" s="19">
        <f t="shared" si="150"/>
        <v>0</v>
      </c>
      <c r="M874" s="20"/>
      <c r="N874" s="20"/>
      <c r="P874" s="55"/>
      <c r="Q874" s="55"/>
      <c r="R874" s="14"/>
      <c r="S874" s="14"/>
    </row>
    <row r="875" spans="2:19" ht="12.95" hidden="1" customHeight="1" x14ac:dyDescent="0.25">
      <c r="B875" s="9" t="s">
        <v>840</v>
      </c>
      <c r="C875" s="10"/>
      <c r="D875" s="10">
        <v>650000000</v>
      </c>
      <c r="E875" s="11">
        <f>+D875</f>
        <v>650000000</v>
      </c>
      <c r="F875" s="11"/>
      <c r="G875" s="11"/>
      <c r="H875" s="11"/>
      <c r="I875" s="11"/>
      <c r="J875" s="11"/>
      <c r="K875" s="11"/>
      <c r="L875" s="11">
        <f>+D875</f>
        <v>650000000</v>
      </c>
      <c r="M875" s="12"/>
      <c r="N875" s="12"/>
      <c r="P875" s="55"/>
      <c r="Q875" s="55"/>
      <c r="R875" s="14"/>
      <c r="S875" s="14"/>
    </row>
    <row r="876" spans="2:19" ht="12.95" hidden="1" customHeight="1" x14ac:dyDescent="0.25">
      <c r="B876" s="16">
        <v>42921</v>
      </c>
      <c r="C876" s="50" t="s">
        <v>841</v>
      </c>
      <c r="D876" s="34"/>
      <c r="E876" s="49">
        <v>260000000</v>
      </c>
      <c r="F876" s="18"/>
      <c r="G876" s="18">
        <f>+E876</f>
        <v>260000000</v>
      </c>
      <c r="H876" s="64">
        <v>0</v>
      </c>
      <c r="I876" s="64">
        <v>0</v>
      </c>
      <c r="J876" s="64">
        <v>0</v>
      </c>
      <c r="K876" s="18">
        <f>+G876-H876-I876-J876</f>
        <v>260000000</v>
      </c>
      <c r="L876" s="19">
        <f>+L875-G876</f>
        <v>390000000</v>
      </c>
      <c r="M876" s="20"/>
      <c r="N876" s="20"/>
      <c r="P876" s="55"/>
      <c r="Q876" s="55"/>
      <c r="R876" s="14"/>
      <c r="S876" s="14"/>
    </row>
    <row r="877" spans="2:19" ht="12.95" hidden="1" customHeight="1" x14ac:dyDescent="0.25">
      <c r="B877" s="16">
        <v>43010</v>
      </c>
      <c r="C877" s="50" t="s">
        <v>842</v>
      </c>
      <c r="D877" s="34"/>
      <c r="E877" s="76">
        <v>195000000</v>
      </c>
      <c r="F877" s="18"/>
      <c r="G877" s="18">
        <f>+E877</f>
        <v>195000000</v>
      </c>
      <c r="H877" s="64"/>
      <c r="I877" s="64"/>
      <c r="J877" s="64"/>
      <c r="K877" s="18">
        <f>+G877-H877-I877-J877</f>
        <v>195000000</v>
      </c>
      <c r="L877" s="19">
        <f>+L876-G877</f>
        <v>195000000</v>
      </c>
      <c r="M877" s="20"/>
      <c r="N877" s="20"/>
      <c r="P877" s="55"/>
      <c r="Q877" s="55"/>
      <c r="R877" s="14"/>
      <c r="S877" s="14"/>
    </row>
    <row r="878" spans="2:19" ht="12.95" hidden="1" customHeight="1" x14ac:dyDescent="0.25">
      <c r="B878" s="16">
        <v>43097.125</v>
      </c>
      <c r="C878" s="50" t="s">
        <v>843</v>
      </c>
      <c r="D878" s="34"/>
      <c r="E878" s="76">
        <v>195000000</v>
      </c>
      <c r="F878" s="18"/>
      <c r="G878" s="18">
        <f>+E878</f>
        <v>195000000</v>
      </c>
      <c r="H878" s="64"/>
      <c r="I878" s="64"/>
      <c r="J878" s="64"/>
      <c r="K878" s="18">
        <f>+G878-H878-I878-J878</f>
        <v>195000000</v>
      </c>
      <c r="L878" s="19">
        <f>+L877-G878</f>
        <v>0</v>
      </c>
      <c r="M878" s="20"/>
      <c r="N878" s="20"/>
      <c r="P878" s="55"/>
      <c r="Q878" s="55"/>
      <c r="R878" s="14"/>
      <c r="S878" s="14"/>
    </row>
    <row r="879" spans="2:19" ht="12.95" hidden="1" customHeight="1" x14ac:dyDescent="0.25">
      <c r="B879" s="9" t="s">
        <v>844</v>
      </c>
      <c r="C879" s="10"/>
      <c r="D879" s="10">
        <v>45000000</v>
      </c>
      <c r="E879" s="11">
        <f>+D879</f>
        <v>45000000</v>
      </c>
      <c r="F879" s="11"/>
      <c r="G879" s="11"/>
      <c r="H879" s="11"/>
      <c r="I879" s="11"/>
      <c r="J879" s="11"/>
      <c r="K879" s="11"/>
      <c r="L879" s="11">
        <f>+D879</f>
        <v>45000000</v>
      </c>
      <c r="M879" s="12"/>
      <c r="N879" s="12"/>
      <c r="P879" s="55"/>
      <c r="Q879" s="55"/>
      <c r="R879" s="14"/>
      <c r="S879" s="14"/>
    </row>
    <row r="880" spans="2:19" ht="12.95" hidden="1" customHeight="1" x14ac:dyDescent="0.25">
      <c r="B880" s="16">
        <v>42958</v>
      </c>
      <c r="C880" s="50" t="s">
        <v>845</v>
      </c>
      <c r="D880" s="34"/>
      <c r="E880" s="49">
        <v>5000000</v>
      </c>
      <c r="F880" s="18"/>
      <c r="G880" s="18">
        <f t="shared" ref="G880:G888" si="151">+E880</f>
        <v>5000000</v>
      </c>
      <c r="H880" s="64"/>
      <c r="I880" s="64">
        <v>137445.04999999999</v>
      </c>
      <c r="J880" s="64">
        <v>48300</v>
      </c>
      <c r="K880" s="18">
        <f t="shared" ref="K880:K888" si="152">+G880-H880-I880-J880</f>
        <v>4814254.95</v>
      </c>
      <c r="L880" s="19">
        <f t="shared" ref="L880:L888" si="153">+L879-G880</f>
        <v>40000000</v>
      </c>
      <c r="M880" s="20"/>
      <c r="N880" s="20"/>
      <c r="P880" s="55"/>
      <c r="Q880" s="55"/>
      <c r="R880" s="14"/>
      <c r="S880" s="14"/>
    </row>
    <row r="881" spans="2:19" ht="12.95" hidden="1" customHeight="1" x14ac:dyDescent="0.25">
      <c r="B881" s="16">
        <v>42969</v>
      </c>
      <c r="C881" s="50" t="s">
        <v>846</v>
      </c>
      <c r="D881" s="34"/>
      <c r="E881" s="49">
        <v>5000000</v>
      </c>
      <c r="F881" s="18"/>
      <c r="G881" s="18">
        <f t="shared" si="151"/>
        <v>5000000</v>
      </c>
      <c r="H881" s="64"/>
      <c r="I881" s="64">
        <v>137445.04999999999</v>
      </c>
      <c r="J881" s="64">
        <v>48300</v>
      </c>
      <c r="K881" s="18">
        <f t="shared" si="152"/>
        <v>4814254.95</v>
      </c>
      <c r="L881" s="19">
        <f t="shared" si="153"/>
        <v>35000000</v>
      </c>
      <c r="M881" s="20"/>
      <c r="N881" s="20"/>
      <c r="P881" s="55"/>
      <c r="Q881" s="55"/>
      <c r="R881" s="14"/>
      <c r="S881" s="14"/>
    </row>
    <row r="882" spans="2:19" ht="12.95" hidden="1" customHeight="1" x14ac:dyDescent="0.25">
      <c r="B882" s="16">
        <v>42969</v>
      </c>
      <c r="C882" s="50" t="s">
        <v>847</v>
      </c>
      <c r="D882" s="34"/>
      <c r="E882" s="49">
        <v>5000000</v>
      </c>
      <c r="F882" s="18"/>
      <c r="G882" s="18">
        <f t="shared" si="151"/>
        <v>5000000</v>
      </c>
      <c r="H882" s="64"/>
      <c r="I882" s="64">
        <v>137445.04999999999</v>
      </c>
      <c r="J882" s="64">
        <v>45885</v>
      </c>
      <c r="K882" s="18">
        <f t="shared" si="152"/>
        <v>4816669.95</v>
      </c>
      <c r="L882" s="19">
        <f t="shared" si="153"/>
        <v>30000000</v>
      </c>
      <c r="M882" s="20"/>
      <c r="N882" s="20"/>
      <c r="P882" s="55"/>
      <c r="Q882" s="55"/>
      <c r="R882" s="14"/>
      <c r="S882" s="14"/>
    </row>
    <row r="883" spans="2:19" ht="12.95" hidden="1" customHeight="1" x14ac:dyDescent="0.25">
      <c r="B883" s="16">
        <v>42969</v>
      </c>
      <c r="C883" s="50" t="s">
        <v>848</v>
      </c>
      <c r="D883" s="34"/>
      <c r="E883" s="49">
        <v>5000000</v>
      </c>
      <c r="F883" s="18"/>
      <c r="G883" s="18">
        <f t="shared" si="151"/>
        <v>5000000</v>
      </c>
      <c r="H883" s="64"/>
      <c r="I883" s="64">
        <v>137445.04999999999</v>
      </c>
      <c r="J883" s="64">
        <v>48300</v>
      </c>
      <c r="K883" s="18">
        <f t="shared" si="152"/>
        <v>4814254.95</v>
      </c>
      <c r="L883" s="19">
        <f t="shared" si="153"/>
        <v>25000000</v>
      </c>
      <c r="M883" s="20"/>
      <c r="N883" s="20"/>
      <c r="P883" s="55"/>
      <c r="Q883" s="55"/>
      <c r="R883" s="14"/>
      <c r="S883" s="14"/>
    </row>
    <row r="884" spans="2:19" ht="12.95" hidden="1" customHeight="1" x14ac:dyDescent="0.25">
      <c r="B884" s="16">
        <v>43010</v>
      </c>
      <c r="C884" s="50" t="s">
        <v>849</v>
      </c>
      <c r="D884" s="34"/>
      <c r="E884" s="49">
        <v>5000000</v>
      </c>
      <c r="F884" s="18"/>
      <c r="G884" s="18">
        <f t="shared" si="151"/>
        <v>5000000</v>
      </c>
      <c r="H884" s="64">
        <v>0</v>
      </c>
      <c r="I884" s="64">
        <v>137445.04999999999</v>
      </c>
      <c r="J884" s="64">
        <v>48300</v>
      </c>
      <c r="K884" s="18">
        <f t="shared" si="152"/>
        <v>4814254.95</v>
      </c>
      <c r="L884" s="19">
        <f t="shared" si="153"/>
        <v>20000000</v>
      </c>
      <c r="M884" s="20"/>
      <c r="N884" s="20"/>
      <c r="P884" s="55"/>
      <c r="Q884" s="55"/>
      <c r="R884" s="14"/>
      <c r="S884" s="14"/>
    </row>
    <row r="885" spans="2:19" ht="12.95" hidden="1" customHeight="1" x14ac:dyDescent="0.25">
      <c r="B885" s="16">
        <v>43020</v>
      </c>
      <c r="C885" s="50" t="s">
        <v>850</v>
      </c>
      <c r="D885" s="34"/>
      <c r="E885" s="49">
        <v>5000000</v>
      </c>
      <c r="F885" s="18"/>
      <c r="G885" s="18">
        <f t="shared" si="151"/>
        <v>5000000</v>
      </c>
      <c r="H885" s="64">
        <v>0</v>
      </c>
      <c r="I885" s="64">
        <v>137445.04999999999</v>
      </c>
      <c r="J885" s="64">
        <v>48300</v>
      </c>
      <c r="K885" s="18">
        <f t="shared" si="152"/>
        <v>4814254.95</v>
      </c>
      <c r="L885" s="19">
        <f t="shared" si="153"/>
        <v>15000000</v>
      </c>
      <c r="M885" s="20"/>
      <c r="N885" s="20"/>
      <c r="P885" s="55"/>
      <c r="Q885" s="55"/>
      <c r="R885" s="14"/>
      <c r="S885" s="14"/>
    </row>
    <row r="886" spans="2:19" ht="12.95" hidden="1" customHeight="1" x14ac:dyDescent="0.25">
      <c r="B886" s="16">
        <v>43073.125</v>
      </c>
      <c r="C886" s="50" t="s">
        <v>851</v>
      </c>
      <c r="D886" s="34"/>
      <c r="E886" s="49">
        <v>5000000</v>
      </c>
      <c r="F886" s="18"/>
      <c r="G886" s="18">
        <f t="shared" si="151"/>
        <v>5000000</v>
      </c>
      <c r="H886" s="64"/>
      <c r="I886" s="64">
        <v>137445.04999999999</v>
      </c>
      <c r="J886" s="64">
        <v>48300</v>
      </c>
      <c r="K886" s="18">
        <f t="shared" si="152"/>
        <v>4814254.95</v>
      </c>
      <c r="L886" s="19">
        <f t="shared" si="153"/>
        <v>10000000</v>
      </c>
      <c r="M886" s="20"/>
      <c r="N886" s="20"/>
      <c r="P886" s="55"/>
      <c r="Q886" s="55"/>
      <c r="R886" s="14"/>
      <c r="S886" s="14"/>
    </row>
    <row r="887" spans="2:19" ht="12.75" hidden="1" customHeight="1" x14ac:dyDescent="0.25">
      <c r="B887" s="16">
        <v>43095.125</v>
      </c>
      <c r="C887" s="50" t="s">
        <v>852</v>
      </c>
      <c r="D887" s="34"/>
      <c r="E887" s="49">
        <v>5000000</v>
      </c>
      <c r="F887" s="18"/>
      <c r="G887" s="18">
        <f t="shared" si="151"/>
        <v>5000000</v>
      </c>
      <c r="H887" s="64"/>
      <c r="I887" s="64">
        <v>137445.04999999999</v>
      </c>
      <c r="J887" s="64">
        <v>48300</v>
      </c>
      <c r="K887" s="18">
        <f t="shared" si="152"/>
        <v>4814254.95</v>
      </c>
      <c r="L887" s="19">
        <f t="shared" si="153"/>
        <v>5000000</v>
      </c>
      <c r="M887" s="20"/>
      <c r="N887" s="20"/>
      <c r="P887" s="55"/>
      <c r="Q887" s="55"/>
      <c r="R887" s="14"/>
      <c r="S887" s="14"/>
    </row>
    <row r="888" spans="2:19" ht="12.95" hidden="1" customHeight="1" x14ac:dyDescent="0.25">
      <c r="B888" s="16">
        <v>43110.125</v>
      </c>
      <c r="C888" s="50" t="s">
        <v>853</v>
      </c>
      <c r="D888" s="34"/>
      <c r="E888" s="49">
        <v>5000000</v>
      </c>
      <c r="F888" s="18"/>
      <c r="G888" s="18">
        <f t="shared" si="151"/>
        <v>5000000</v>
      </c>
      <c r="H888" s="64">
        <v>0</v>
      </c>
      <c r="I888" s="64">
        <v>76921.490000000005</v>
      </c>
      <c r="J888" s="64">
        <v>45885</v>
      </c>
      <c r="K888" s="18">
        <f t="shared" si="152"/>
        <v>4877193.51</v>
      </c>
      <c r="L888" s="19">
        <f t="shared" si="153"/>
        <v>0</v>
      </c>
      <c r="M888" s="20"/>
      <c r="N888" s="20"/>
      <c r="P888" s="55"/>
      <c r="Q888" s="55"/>
      <c r="R888" s="14"/>
      <c r="S888" s="14"/>
    </row>
    <row r="889" spans="2:19" ht="12.95" hidden="1" customHeight="1" x14ac:dyDescent="0.25">
      <c r="B889" s="9" t="s">
        <v>854</v>
      </c>
      <c r="C889" s="10"/>
      <c r="D889" s="10">
        <v>750000000</v>
      </c>
      <c r="E889" s="11">
        <f>+D889</f>
        <v>750000000</v>
      </c>
      <c r="F889" s="11"/>
      <c r="G889" s="11"/>
      <c r="H889" s="11"/>
      <c r="I889" s="11"/>
      <c r="J889" s="11"/>
      <c r="K889" s="11"/>
      <c r="L889" s="11">
        <f>+D889</f>
        <v>750000000</v>
      </c>
      <c r="M889" s="12"/>
      <c r="N889" s="12"/>
      <c r="P889" s="55"/>
      <c r="Q889" s="55"/>
      <c r="R889" s="14"/>
      <c r="S889" s="14"/>
    </row>
    <row r="890" spans="2:19" ht="12.95" hidden="1" customHeight="1" x14ac:dyDescent="0.25">
      <c r="B890" s="16">
        <v>42961</v>
      </c>
      <c r="C890" s="36" t="s">
        <v>855</v>
      </c>
      <c r="D890" s="34"/>
      <c r="E890" s="37">
        <v>300000000</v>
      </c>
      <c r="F890" s="37"/>
      <c r="G890" s="37">
        <f>+E890</f>
        <v>300000000</v>
      </c>
      <c r="H890" s="37">
        <v>0</v>
      </c>
      <c r="I890" s="37">
        <v>0</v>
      </c>
      <c r="J890" s="37">
        <v>0</v>
      </c>
      <c r="K890" s="18">
        <f>+G890-I890-J890</f>
        <v>300000000</v>
      </c>
      <c r="L890" s="19">
        <f>+L889-G890</f>
        <v>450000000</v>
      </c>
      <c r="M890" s="20"/>
      <c r="N890" s="20"/>
      <c r="P890" s="55"/>
      <c r="Q890" s="55"/>
      <c r="R890" s="14"/>
      <c r="S890" s="14"/>
    </row>
    <row r="891" spans="2:19" ht="12.95" hidden="1" customHeight="1" x14ac:dyDescent="0.25">
      <c r="B891" s="16">
        <v>43060.125</v>
      </c>
      <c r="C891" s="36" t="s">
        <v>856</v>
      </c>
      <c r="D891" s="34"/>
      <c r="E891" s="37">
        <v>225000000</v>
      </c>
      <c r="F891" s="37"/>
      <c r="G891" s="37">
        <f>+E891</f>
        <v>225000000</v>
      </c>
      <c r="H891" s="37">
        <v>0</v>
      </c>
      <c r="I891" s="37">
        <v>0</v>
      </c>
      <c r="J891" s="37">
        <v>0</v>
      </c>
      <c r="K891" s="18">
        <f>+G891-I891-J891</f>
        <v>225000000</v>
      </c>
      <c r="L891" s="19">
        <f>+L890-G891</f>
        <v>225000000</v>
      </c>
      <c r="M891" s="20"/>
      <c r="N891" s="20"/>
      <c r="P891" s="55"/>
      <c r="Q891" s="55"/>
      <c r="R891" s="14"/>
      <c r="S891" s="14"/>
    </row>
    <row r="892" spans="2:19" ht="12.95" hidden="1" customHeight="1" x14ac:dyDescent="0.25">
      <c r="B892" s="16">
        <v>43097.125</v>
      </c>
      <c r="C892" s="36" t="s">
        <v>857</v>
      </c>
      <c r="D892" s="34"/>
      <c r="E892" s="37">
        <v>225000000</v>
      </c>
      <c r="F892" s="37"/>
      <c r="G892" s="37">
        <f>+E892</f>
        <v>225000000</v>
      </c>
      <c r="H892" s="37">
        <v>0</v>
      </c>
      <c r="I892" s="37">
        <v>0</v>
      </c>
      <c r="J892" s="37">
        <v>0</v>
      </c>
      <c r="K892" s="18">
        <f>+G892-I892-J892</f>
        <v>225000000</v>
      </c>
      <c r="L892" s="19">
        <f>+L891-G892</f>
        <v>0</v>
      </c>
      <c r="M892" s="20"/>
      <c r="N892" s="20"/>
      <c r="P892" s="55"/>
      <c r="Q892" s="55"/>
      <c r="R892" s="14"/>
      <c r="S892" s="14"/>
    </row>
    <row r="893" spans="2:19" ht="12.95" hidden="1" customHeight="1" x14ac:dyDescent="0.25">
      <c r="B893" s="9" t="s">
        <v>858</v>
      </c>
      <c r="C893" s="10"/>
      <c r="D893" s="11">
        <v>250000000</v>
      </c>
      <c r="E893" s="11">
        <f>+D893</f>
        <v>250000000</v>
      </c>
      <c r="F893" s="11"/>
      <c r="G893" s="11"/>
      <c r="H893" s="11"/>
      <c r="I893" s="11"/>
      <c r="J893" s="11"/>
      <c r="K893" s="11"/>
      <c r="L893" s="11">
        <f>+D893</f>
        <v>250000000</v>
      </c>
      <c r="M893" s="12"/>
      <c r="N893" s="12"/>
      <c r="P893" s="55"/>
      <c r="Q893" s="55"/>
      <c r="R893" s="14"/>
      <c r="S893" s="14"/>
    </row>
    <row r="894" spans="2:19" ht="12.95" hidden="1" customHeight="1" x14ac:dyDescent="0.25">
      <c r="B894" s="16">
        <v>42997</v>
      </c>
      <c r="C894" s="36" t="s">
        <v>859</v>
      </c>
      <c r="D894" s="34"/>
      <c r="E894" s="37">
        <v>100000000</v>
      </c>
      <c r="F894" s="37"/>
      <c r="G894" s="37">
        <f>+E894</f>
        <v>100000000</v>
      </c>
      <c r="H894" s="37">
        <v>0</v>
      </c>
      <c r="I894" s="37">
        <v>0</v>
      </c>
      <c r="J894" s="37">
        <v>0</v>
      </c>
      <c r="K894" s="18">
        <f>+G894-H894-I894-J894</f>
        <v>100000000</v>
      </c>
      <c r="L894" s="19">
        <f>+L893-G894</f>
        <v>150000000</v>
      </c>
      <c r="M894" s="20"/>
      <c r="N894" s="20"/>
      <c r="P894" s="55"/>
      <c r="Q894" s="55"/>
      <c r="R894" s="14"/>
      <c r="S894" s="14"/>
    </row>
    <row r="895" spans="2:19" ht="12.95" hidden="1" customHeight="1" x14ac:dyDescent="0.25">
      <c r="B895" s="16">
        <v>43010</v>
      </c>
      <c r="C895" s="36" t="s">
        <v>860</v>
      </c>
      <c r="D895" s="34"/>
      <c r="E895" s="37">
        <v>75000000</v>
      </c>
      <c r="F895" s="37"/>
      <c r="G895" s="37">
        <f>+E895</f>
        <v>75000000</v>
      </c>
      <c r="H895" s="37">
        <v>0</v>
      </c>
      <c r="I895" s="37">
        <v>0</v>
      </c>
      <c r="J895" s="37">
        <v>0</v>
      </c>
      <c r="K895" s="18">
        <f>+G895-H895-I895-J895</f>
        <v>75000000</v>
      </c>
      <c r="L895" s="19">
        <f>+L894-G895</f>
        <v>75000000</v>
      </c>
      <c r="M895" s="20"/>
      <c r="N895" s="20"/>
      <c r="P895" s="55"/>
      <c r="Q895" s="55"/>
      <c r="R895" s="14"/>
      <c r="S895" s="14"/>
    </row>
    <row r="896" spans="2:19" ht="12.95" hidden="1" customHeight="1" x14ac:dyDescent="0.25">
      <c r="B896" s="67">
        <v>43073.125</v>
      </c>
      <c r="C896" s="39" t="s">
        <v>861</v>
      </c>
      <c r="D896" s="40"/>
      <c r="E896" s="37">
        <v>75000000</v>
      </c>
      <c r="F896" s="37"/>
      <c r="G896" s="37">
        <f>+E896</f>
        <v>75000000</v>
      </c>
      <c r="H896" s="37">
        <v>0</v>
      </c>
      <c r="I896" s="37">
        <v>0</v>
      </c>
      <c r="J896" s="37">
        <v>0</v>
      </c>
      <c r="K896" s="18">
        <f>+G896-H896-I896-J896</f>
        <v>75000000</v>
      </c>
      <c r="L896" s="19">
        <f>+L895-G896</f>
        <v>0</v>
      </c>
      <c r="M896" s="20"/>
      <c r="N896" s="20"/>
      <c r="P896" s="55"/>
      <c r="Q896" s="55"/>
      <c r="R896" s="14"/>
      <c r="S896" s="14"/>
    </row>
    <row r="897" spans="2:119" ht="12.95" hidden="1" customHeight="1" x14ac:dyDescent="0.25">
      <c r="B897" s="9" t="s">
        <v>862</v>
      </c>
      <c r="C897" s="10"/>
      <c r="D897" s="11">
        <v>45000000</v>
      </c>
      <c r="E897" s="11">
        <f>+D897</f>
        <v>45000000</v>
      </c>
      <c r="F897" s="11"/>
      <c r="G897" s="11"/>
      <c r="H897" s="11"/>
      <c r="I897" s="11"/>
      <c r="J897" s="11"/>
      <c r="K897" s="11"/>
      <c r="L897" s="11">
        <f>+D897</f>
        <v>45000000</v>
      </c>
      <c r="M897" s="12"/>
      <c r="N897" s="12"/>
      <c r="P897" s="55"/>
      <c r="Q897" s="55"/>
      <c r="R897" s="14"/>
      <c r="S897" s="14"/>
    </row>
    <row r="898" spans="2:119" ht="12.95" hidden="1" customHeight="1" x14ac:dyDescent="0.25">
      <c r="B898" s="16">
        <v>43006</v>
      </c>
      <c r="C898" s="36" t="s">
        <v>863</v>
      </c>
      <c r="D898" s="34"/>
      <c r="E898" s="37">
        <v>9000000</v>
      </c>
      <c r="F898" s="37"/>
      <c r="G898" s="37">
        <f t="shared" ref="G898:G903" si="154">+E898</f>
        <v>9000000</v>
      </c>
      <c r="H898" s="37"/>
      <c r="I898" s="37">
        <v>550646.37</v>
      </c>
      <c r="J898" s="37">
        <v>86940</v>
      </c>
      <c r="K898" s="18">
        <f t="shared" ref="K898:K903" si="155">+G898-H898-I898-J898</f>
        <v>8362413.6300000008</v>
      </c>
      <c r="L898" s="19">
        <f t="shared" ref="L898:L903" si="156">+L897-G898</f>
        <v>36000000</v>
      </c>
      <c r="M898" s="20"/>
      <c r="N898" s="20"/>
      <c r="P898" s="55"/>
      <c r="Q898" s="55"/>
      <c r="R898" s="14"/>
      <c r="S898" s="14"/>
    </row>
    <row r="899" spans="2:119" ht="12.95" hidden="1" customHeight="1" x14ac:dyDescent="0.25">
      <c r="B899" s="16">
        <v>43034</v>
      </c>
      <c r="C899" s="55" t="s">
        <v>864</v>
      </c>
      <c r="D899" s="55"/>
      <c r="E899" s="37">
        <v>9000000</v>
      </c>
      <c r="F899" s="37"/>
      <c r="G899" s="37">
        <f t="shared" si="154"/>
        <v>9000000</v>
      </c>
      <c r="H899" s="64">
        <v>0</v>
      </c>
      <c r="I899" s="64">
        <v>498626.64</v>
      </c>
      <c r="J899" s="64">
        <v>86940</v>
      </c>
      <c r="K899" s="18">
        <f t="shared" si="155"/>
        <v>8414433.3599999994</v>
      </c>
      <c r="L899" s="19">
        <f t="shared" si="156"/>
        <v>27000000</v>
      </c>
      <c r="M899" s="20"/>
      <c r="N899" s="20"/>
      <c r="P899" s="55"/>
      <c r="Q899" s="55"/>
      <c r="R899" s="14"/>
      <c r="S899" s="14"/>
    </row>
    <row r="900" spans="2:119" ht="12.95" hidden="1" customHeight="1" x14ac:dyDescent="0.25">
      <c r="B900" s="16">
        <v>43063.125</v>
      </c>
      <c r="C900" s="55" t="s">
        <v>865</v>
      </c>
      <c r="D900" s="55"/>
      <c r="E900" s="37">
        <v>9000000</v>
      </c>
      <c r="F900" s="37"/>
      <c r="G900" s="37">
        <f t="shared" si="154"/>
        <v>9000000</v>
      </c>
      <c r="H900" s="64">
        <v>0</v>
      </c>
      <c r="I900" s="64">
        <v>602666.13</v>
      </c>
      <c r="J900" s="64">
        <v>86940</v>
      </c>
      <c r="K900" s="18">
        <f t="shared" si="155"/>
        <v>8310393.8699999992</v>
      </c>
      <c r="L900" s="19">
        <f t="shared" si="156"/>
        <v>18000000</v>
      </c>
      <c r="M900" s="20"/>
      <c r="N900" s="20"/>
      <c r="P900" s="55"/>
      <c r="Q900" s="55"/>
      <c r="R900" s="14"/>
      <c r="S900" s="14"/>
      <c r="DO900" s="21">
        <v>255496500</v>
      </c>
    </row>
    <row r="901" spans="2:119" ht="12.95" hidden="1" customHeight="1" x14ac:dyDescent="0.25">
      <c r="B901" s="16">
        <v>43097.125</v>
      </c>
      <c r="C901" s="55" t="s">
        <v>866</v>
      </c>
      <c r="D901" s="55"/>
      <c r="E901" s="37">
        <v>9000000</v>
      </c>
      <c r="F901" s="37"/>
      <c r="G901" s="37">
        <f t="shared" si="154"/>
        <v>9000000</v>
      </c>
      <c r="H901" s="64"/>
      <c r="I901" s="64">
        <v>550646.37</v>
      </c>
      <c r="J901" s="64">
        <v>86940</v>
      </c>
      <c r="K901" s="18">
        <f t="shared" si="155"/>
        <v>8362413.6300000008</v>
      </c>
      <c r="L901" s="19">
        <f t="shared" si="156"/>
        <v>9000000</v>
      </c>
      <c r="M901" s="20"/>
      <c r="N901" s="20"/>
      <c r="P901" s="55"/>
      <c r="Q901" s="55"/>
      <c r="R901" s="14"/>
      <c r="S901" s="14"/>
    </row>
    <row r="902" spans="2:119" ht="12.95" hidden="1" customHeight="1" x14ac:dyDescent="0.25">
      <c r="B902" s="16">
        <v>43112.125</v>
      </c>
      <c r="C902" s="55" t="s">
        <v>867</v>
      </c>
      <c r="D902" s="55"/>
      <c r="E902" s="37">
        <v>5100000</v>
      </c>
      <c r="F902" s="37"/>
      <c r="G902" s="37">
        <f t="shared" si="154"/>
        <v>5100000</v>
      </c>
      <c r="H902" s="64">
        <v>0</v>
      </c>
      <c r="I902" s="64">
        <v>2106.63</v>
      </c>
      <c r="J902" s="64">
        <v>49266</v>
      </c>
      <c r="K902" s="18">
        <f t="shared" si="155"/>
        <v>5048627.37</v>
      </c>
      <c r="L902" s="19">
        <f t="shared" si="156"/>
        <v>3900000</v>
      </c>
      <c r="M902" s="20"/>
      <c r="N902" s="20"/>
      <c r="P902" s="55"/>
      <c r="Q902" s="55"/>
      <c r="R902" s="14"/>
      <c r="S902" s="14"/>
    </row>
    <row r="903" spans="2:119" ht="12.95" hidden="1" customHeight="1" x14ac:dyDescent="0.25">
      <c r="B903" s="16">
        <v>43112.125</v>
      </c>
      <c r="C903" s="55" t="s">
        <v>24</v>
      </c>
      <c r="D903" s="55"/>
      <c r="E903" s="37">
        <v>3900000</v>
      </c>
      <c r="F903" s="37"/>
      <c r="G903" s="37">
        <f t="shared" si="154"/>
        <v>3900000</v>
      </c>
      <c r="H903" s="64">
        <v>0</v>
      </c>
      <c r="I903" s="64">
        <v>0</v>
      </c>
      <c r="J903" s="64">
        <v>0</v>
      </c>
      <c r="K903" s="18">
        <f t="shared" si="155"/>
        <v>3900000</v>
      </c>
      <c r="L903" s="19">
        <f t="shared" si="156"/>
        <v>0</v>
      </c>
      <c r="M903" s="20"/>
      <c r="N903" s="20"/>
      <c r="P903" s="55"/>
      <c r="Q903" s="55"/>
      <c r="R903" s="14"/>
      <c r="S903" s="14"/>
    </row>
    <row r="904" spans="2:119" ht="12.95" hidden="1" customHeight="1" x14ac:dyDescent="0.25">
      <c r="B904" s="9" t="s">
        <v>868</v>
      </c>
      <c r="C904" s="10"/>
      <c r="D904" s="11">
        <v>15000000</v>
      </c>
      <c r="E904" s="11">
        <f>+D904</f>
        <v>15000000</v>
      </c>
      <c r="F904" s="11"/>
      <c r="G904" s="11"/>
      <c r="H904" s="11"/>
      <c r="I904" s="11"/>
      <c r="J904" s="11"/>
      <c r="K904" s="11"/>
      <c r="L904" s="11">
        <f>+D904</f>
        <v>15000000</v>
      </c>
      <c r="M904" s="12"/>
      <c r="N904" s="12"/>
      <c r="P904" s="55"/>
      <c r="Q904" s="55"/>
      <c r="R904" s="14"/>
      <c r="S904" s="14"/>
      <c r="DO904" s="21">
        <v>241500000</v>
      </c>
    </row>
    <row r="905" spans="2:119" ht="12.95" hidden="1" customHeight="1" x14ac:dyDescent="0.25">
      <c r="B905" s="16">
        <v>43068.125</v>
      </c>
      <c r="C905" s="36" t="s">
        <v>869</v>
      </c>
      <c r="D905" s="34"/>
      <c r="E905" s="37">
        <v>5000000</v>
      </c>
      <c r="F905" s="37"/>
      <c r="G905" s="37">
        <f>+E905</f>
        <v>5000000</v>
      </c>
      <c r="H905" s="37"/>
      <c r="I905" s="37">
        <v>137445.04999999999</v>
      </c>
      <c r="J905" s="37">
        <v>48300</v>
      </c>
      <c r="K905" s="18">
        <f>+G905-H905-I905-J905</f>
        <v>4814254.95</v>
      </c>
      <c r="L905" s="19">
        <f>+L904-G905</f>
        <v>10000000</v>
      </c>
      <c r="M905" s="20"/>
      <c r="N905" s="20"/>
      <c r="P905" s="55"/>
      <c r="Q905" s="55"/>
      <c r="R905" s="14"/>
      <c r="S905" s="14"/>
    </row>
    <row r="906" spans="2:119" ht="12.95" hidden="1" customHeight="1" x14ac:dyDescent="0.25">
      <c r="B906" s="16">
        <v>43097.125</v>
      </c>
      <c r="C906" s="36" t="s">
        <v>870</v>
      </c>
      <c r="D906" s="34"/>
      <c r="E906" s="37">
        <v>5000000</v>
      </c>
      <c r="F906" s="37"/>
      <c r="G906" s="37">
        <f>+E906</f>
        <v>5000000</v>
      </c>
      <c r="H906" s="37"/>
      <c r="I906" s="37">
        <v>137445.04999999999</v>
      </c>
      <c r="J906" s="37">
        <v>48300</v>
      </c>
      <c r="K906" s="18">
        <f>+G906-H906-I906-J906</f>
        <v>4814254.95</v>
      </c>
      <c r="L906" s="19">
        <f>+L905-G906</f>
        <v>5000000</v>
      </c>
      <c r="M906" s="20"/>
      <c r="N906" s="20"/>
      <c r="P906" s="55"/>
      <c r="Q906" s="55"/>
      <c r="R906" s="14"/>
      <c r="S906" s="14"/>
    </row>
    <row r="907" spans="2:119" ht="12.95" hidden="1" customHeight="1" x14ac:dyDescent="0.25">
      <c r="B907" s="16">
        <v>43110.125</v>
      </c>
      <c r="C907" s="36" t="s">
        <v>871</v>
      </c>
      <c r="D907" s="34"/>
      <c r="E907" s="37">
        <v>2000000</v>
      </c>
      <c r="F907" s="37"/>
      <c r="G907" s="37">
        <f>+E907</f>
        <v>2000000</v>
      </c>
      <c r="H907" s="37">
        <v>0</v>
      </c>
      <c r="I907" s="37">
        <v>0</v>
      </c>
      <c r="J907" s="37">
        <v>19320</v>
      </c>
      <c r="K907" s="18">
        <f>+G907-H907-I907-J907</f>
        <v>1980680</v>
      </c>
      <c r="L907" s="19">
        <f>+L906-G907</f>
        <v>3000000</v>
      </c>
      <c r="M907" s="20"/>
      <c r="N907" s="20"/>
      <c r="P907" s="55"/>
      <c r="Q907" s="55"/>
      <c r="R907" s="14"/>
      <c r="S907" s="14"/>
    </row>
    <row r="908" spans="2:119" ht="12.95" hidden="1" customHeight="1" x14ac:dyDescent="0.25">
      <c r="B908" s="16">
        <v>43110.125</v>
      </c>
      <c r="C908" s="36" t="s">
        <v>24</v>
      </c>
      <c r="D908" s="34"/>
      <c r="E908" s="37">
        <v>3000000</v>
      </c>
      <c r="F908" s="37"/>
      <c r="G908" s="37">
        <f>+E908</f>
        <v>3000000</v>
      </c>
      <c r="H908" s="37">
        <v>0</v>
      </c>
      <c r="I908" s="37">
        <v>0</v>
      </c>
      <c r="J908" s="37">
        <v>0</v>
      </c>
      <c r="K908" s="18">
        <f>+G908-H908-I908-J908</f>
        <v>3000000</v>
      </c>
      <c r="L908" s="19">
        <f>+L907-G908</f>
        <v>0</v>
      </c>
      <c r="M908" s="20"/>
      <c r="N908" s="20"/>
      <c r="P908" s="55"/>
      <c r="Q908" s="55"/>
      <c r="R908" s="14"/>
      <c r="S908" s="14"/>
    </row>
    <row r="909" spans="2:119" ht="12.95" hidden="1" customHeight="1" x14ac:dyDescent="0.25">
      <c r="B909" s="9" t="s">
        <v>872</v>
      </c>
      <c r="C909" s="10"/>
      <c r="D909" s="11">
        <v>22500000</v>
      </c>
      <c r="E909" s="11">
        <f>+D909</f>
        <v>22500000</v>
      </c>
      <c r="F909" s="11"/>
      <c r="G909" s="11"/>
      <c r="H909" s="11"/>
      <c r="I909" s="11"/>
      <c r="J909" s="11"/>
      <c r="K909" s="11"/>
      <c r="L909" s="11">
        <f>+D909</f>
        <v>22500000</v>
      </c>
      <c r="M909" s="12"/>
      <c r="N909" s="12"/>
      <c r="P909" s="55"/>
      <c r="Q909" s="55"/>
      <c r="R909" s="14"/>
      <c r="S909" s="14"/>
    </row>
    <row r="910" spans="2:119" ht="12.95" hidden="1" customHeight="1" x14ac:dyDescent="0.25">
      <c r="B910" s="16">
        <v>43088.125</v>
      </c>
      <c r="C910" s="36" t="s">
        <v>873</v>
      </c>
      <c r="D910" s="34"/>
      <c r="E910" s="37">
        <v>9000000</v>
      </c>
      <c r="F910" s="37"/>
      <c r="G910" s="37">
        <f>+E910</f>
        <v>9000000</v>
      </c>
      <c r="H910" s="37"/>
      <c r="I910" s="37">
        <v>870512</v>
      </c>
      <c r="J910" s="37">
        <v>86940</v>
      </c>
      <c r="K910" s="18">
        <f>+G910-H910-I910-J910</f>
        <v>8042548</v>
      </c>
      <c r="L910" s="19">
        <f>+L909-G910</f>
        <v>13500000</v>
      </c>
      <c r="M910" s="20"/>
      <c r="N910" s="20"/>
      <c r="P910" s="55"/>
      <c r="Q910" s="55"/>
      <c r="R910" s="14"/>
      <c r="S910" s="14"/>
    </row>
    <row r="911" spans="2:119" ht="12.95" hidden="1" customHeight="1" x14ac:dyDescent="0.25">
      <c r="B911" s="16">
        <v>43122.125</v>
      </c>
      <c r="C911" s="36" t="s">
        <v>874</v>
      </c>
      <c r="D911" s="34"/>
      <c r="E911" s="37">
        <v>9000000</v>
      </c>
      <c r="F911" s="37"/>
      <c r="G911" s="37">
        <f>+E911</f>
        <v>9000000</v>
      </c>
      <c r="H911" s="37">
        <v>0</v>
      </c>
      <c r="I911" s="37">
        <v>829007.99</v>
      </c>
      <c r="J911" s="37">
        <v>86940</v>
      </c>
      <c r="K911" s="18">
        <f>+G911-H911-I911-J911</f>
        <v>8084052.0099999998</v>
      </c>
      <c r="L911" s="19">
        <f>+L910-G911</f>
        <v>4500000</v>
      </c>
      <c r="M911" s="20"/>
      <c r="N911" s="20"/>
      <c r="P911" s="55"/>
      <c r="Q911" s="55"/>
      <c r="R911" s="14"/>
      <c r="S911" s="14"/>
    </row>
    <row r="912" spans="2:119" ht="12.95" hidden="1" customHeight="1" x14ac:dyDescent="0.25">
      <c r="B912" s="16">
        <v>43122.125</v>
      </c>
      <c r="C912" s="36" t="s">
        <v>654</v>
      </c>
      <c r="D912" s="34"/>
      <c r="E912" s="37">
        <v>4500000</v>
      </c>
      <c r="F912" s="37"/>
      <c r="G912" s="37">
        <f>+E912</f>
        <v>4500000</v>
      </c>
      <c r="H912" s="37">
        <v>0</v>
      </c>
      <c r="I912" s="37">
        <v>0</v>
      </c>
      <c r="J912" s="37">
        <v>0</v>
      </c>
      <c r="K912" s="18">
        <v>0</v>
      </c>
      <c r="L912" s="19">
        <f>+L911-G912</f>
        <v>0</v>
      </c>
      <c r="M912" s="20"/>
      <c r="N912" s="20"/>
      <c r="P912" s="55"/>
      <c r="Q912" s="55"/>
      <c r="R912" s="14"/>
      <c r="S912" s="14"/>
    </row>
    <row r="913" spans="2:19" ht="12.95" hidden="1" customHeight="1" x14ac:dyDescent="0.25">
      <c r="B913" s="9" t="s">
        <v>875</v>
      </c>
      <c r="C913" s="10"/>
      <c r="D913" s="11">
        <v>20100000</v>
      </c>
      <c r="E913" s="11">
        <f>+D913</f>
        <v>20100000</v>
      </c>
      <c r="F913" s="11"/>
      <c r="G913" s="11"/>
      <c r="H913" s="11"/>
      <c r="I913" s="11"/>
      <c r="J913" s="11"/>
      <c r="K913" s="11"/>
      <c r="L913" s="11">
        <f>+D913</f>
        <v>20100000</v>
      </c>
      <c r="M913" s="12"/>
      <c r="N913" s="12"/>
      <c r="P913" s="55"/>
      <c r="Q913" s="55"/>
      <c r="R913" s="14"/>
      <c r="S913" s="14"/>
    </row>
    <row r="914" spans="2:19" ht="12.95" hidden="1" customHeight="1" x14ac:dyDescent="0.25">
      <c r="B914" s="16">
        <v>43088.125</v>
      </c>
      <c r="C914" s="36" t="s">
        <v>876</v>
      </c>
      <c r="D914" s="34"/>
      <c r="E914" s="37">
        <v>9000000</v>
      </c>
      <c r="F914" s="37"/>
      <c r="G914" s="37">
        <f>+E914</f>
        <v>9000000</v>
      </c>
      <c r="H914" s="37"/>
      <c r="I914" s="37">
        <v>681511.99</v>
      </c>
      <c r="J914" s="37">
        <v>86940</v>
      </c>
      <c r="K914" s="18">
        <f>+G914-H914-I914-J914</f>
        <v>8231548.0099999998</v>
      </c>
      <c r="L914" s="19">
        <f>+L913-G914</f>
        <v>11100000</v>
      </c>
      <c r="M914" s="20"/>
      <c r="N914" s="20"/>
      <c r="P914" s="55"/>
      <c r="Q914" s="55"/>
      <c r="R914" s="14"/>
      <c r="S914" s="14"/>
    </row>
    <row r="915" spans="2:19" ht="12.95" hidden="1" customHeight="1" x14ac:dyDescent="0.25">
      <c r="B915" s="16">
        <v>43097.125</v>
      </c>
      <c r="C915" s="36" t="s">
        <v>877</v>
      </c>
      <c r="D915" s="34"/>
      <c r="E915" s="37">
        <v>7500000</v>
      </c>
      <c r="F915" s="37"/>
      <c r="G915" s="37">
        <f>+E915</f>
        <v>7500000</v>
      </c>
      <c r="H915" s="37"/>
      <c r="I915" s="37">
        <v>398012</v>
      </c>
      <c r="J915" s="37">
        <v>72450</v>
      </c>
      <c r="K915" s="18">
        <f>+G915-H915-I915-J915</f>
        <v>7029538</v>
      </c>
      <c r="L915" s="19">
        <f>+L914-G915</f>
        <v>3600000</v>
      </c>
      <c r="M915" s="20"/>
      <c r="N915" s="20"/>
      <c r="P915" s="55"/>
      <c r="Q915" s="55"/>
      <c r="R915" s="14"/>
      <c r="S915" s="14"/>
    </row>
    <row r="916" spans="2:19" ht="12.95" hidden="1" customHeight="1" x14ac:dyDescent="0.25">
      <c r="B916" s="16">
        <v>43097.125</v>
      </c>
      <c r="C916" s="36" t="s">
        <v>24</v>
      </c>
      <c r="D916" s="34"/>
      <c r="E916" s="37">
        <v>3600000</v>
      </c>
      <c r="F916" s="37"/>
      <c r="G916" s="37">
        <f>+E916</f>
        <v>3600000</v>
      </c>
      <c r="H916" s="37"/>
      <c r="I916" s="37">
        <v>0</v>
      </c>
      <c r="J916" s="37">
        <v>0</v>
      </c>
      <c r="K916" s="18">
        <f>+G916-H916-I916-J916</f>
        <v>3600000</v>
      </c>
      <c r="L916" s="19">
        <f>+L915-G916</f>
        <v>0</v>
      </c>
      <c r="M916" s="20"/>
      <c r="N916" s="20"/>
      <c r="P916" s="55"/>
      <c r="Q916" s="55"/>
      <c r="R916" s="14"/>
      <c r="S916" s="14"/>
    </row>
    <row r="917" spans="2:19" ht="12.95" hidden="1" customHeight="1" x14ac:dyDescent="0.25">
      <c r="B917" s="9" t="s">
        <v>878</v>
      </c>
      <c r="C917" s="10"/>
      <c r="D917" s="11">
        <v>20000000</v>
      </c>
      <c r="E917" s="11">
        <f>+D917</f>
        <v>20000000</v>
      </c>
      <c r="F917" s="11"/>
      <c r="G917" s="11"/>
      <c r="H917" s="11"/>
      <c r="I917" s="11"/>
      <c r="J917" s="11"/>
      <c r="K917" s="11"/>
      <c r="L917" s="11">
        <f>+D917</f>
        <v>20000000</v>
      </c>
      <c r="M917" s="12"/>
      <c r="N917" s="12"/>
      <c r="P917" s="55"/>
      <c r="Q917" s="55"/>
      <c r="R917" s="14"/>
      <c r="S917" s="14"/>
    </row>
    <row r="918" spans="2:19" ht="12.95" hidden="1" customHeight="1" x14ac:dyDescent="0.25">
      <c r="B918" s="16">
        <v>43090.125</v>
      </c>
      <c r="C918" s="36" t="s">
        <v>879</v>
      </c>
      <c r="D918" s="34"/>
      <c r="E918" s="37">
        <v>8000000</v>
      </c>
      <c r="F918" s="37"/>
      <c r="G918" s="37">
        <f>+E918</f>
        <v>8000000</v>
      </c>
      <c r="H918" s="37"/>
      <c r="I918" s="37">
        <v>492512.01</v>
      </c>
      <c r="J918" s="37">
        <v>77280</v>
      </c>
      <c r="K918" s="18">
        <f>+G918-H918-I918-J918</f>
        <v>7430207.9900000002</v>
      </c>
      <c r="L918" s="19">
        <f>+L917-G918</f>
        <v>12000000</v>
      </c>
      <c r="M918" s="20"/>
      <c r="N918" s="20"/>
      <c r="P918" s="55"/>
      <c r="Q918" s="55"/>
      <c r="R918" s="14"/>
      <c r="S918" s="14"/>
    </row>
    <row r="919" spans="2:19" ht="12.95" hidden="1" customHeight="1" x14ac:dyDescent="0.25">
      <c r="B919" s="16">
        <v>43097.125</v>
      </c>
      <c r="C919" s="36" t="s">
        <v>880</v>
      </c>
      <c r="D919" s="34"/>
      <c r="E919" s="37">
        <v>8000000</v>
      </c>
      <c r="F919" s="37"/>
      <c r="G919" s="37">
        <f>+E919</f>
        <v>8000000</v>
      </c>
      <c r="H919" s="37"/>
      <c r="I919" s="37">
        <v>492512.01</v>
      </c>
      <c r="J919" s="37">
        <v>77280</v>
      </c>
      <c r="K919" s="18">
        <f>+G919-H919-I919-J919</f>
        <v>7430207.9900000002</v>
      </c>
      <c r="L919" s="19">
        <f>+L918-G919</f>
        <v>4000000</v>
      </c>
      <c r="M919" s="20"/>
      <c r="N919" s="20"/>
      <c r="P919" s="55"/>
      <c r="Q919" s="55"/>
      <c r="R919" s="14"/>
      <c r="S919" s="14"/>
    </row>
    <row r="920" spans="2:19" ht="12.95" hidden="1" customHeight="1" x14ac:dyDescent="0.25">
      <c r="B920" s="16">
        <v>43110.125</v>
      </c>
      <c r="C920" s="36" t="s">
        <v>881</v>
      </c>
      <c r="D920" s="34"/>
      <c r="E920" s="37">
        <v>3466667</v>
      </c>
      <c r="F920" s="37"/>
      <c r="G920" s="37">
        <f>+E920</f>
        <v>3466667</v>
      </c>
      <c r="H920" s="37">
        <v>0</v>
      </c>
      <c r="I920" s="37">
        <v>0</v>
      </c>
      <c r="J920" s="37">
        <v>33488</v>
      </c>
      <c r="K920" s="18">
        <f>+G920-H920-I920-J920</f>
        <v>3433179</v>
      </c>
      <c r="L920" s="19">
        <f>+L919-G920</f>
        <v>533333</v>
      </c>
      <c r="M920" s="20"/>
      <c r="N920" s="20"/>
      <c r="P920" s="55"/>
      <c r="Q920" s="55"/>
      <c r="R920" s="14"/>
      <c r="S920" s="14"/>
    </row>
    <row r="921" spans="2:19" ht="12.95" hidden="1" customHeight="1" x14ac:dyDescent="0.25">
      <c r="B921" s="16">
        <v>43110.125</v>
      </c>
      <c r="C921" s="36" t="s">
        <v>24</v>
      </c>
      <c r="D921" s="34"/>
      <c r="E921" s="37">
        <v>533333</v>
      </c>
      <c r="F921" s="37"/>
      <c r="G921" s="37">
        <f>+E921</f>
        <v>533333</v>
      </c>
      <c r="H921" s="37">
        <v>0</v>
      </c>
      <c r="I921" s="37">
        <v>0</v>
      </c>
      <c r="J921" s="37">
        <v>0</v>
      </c>
      <c r="K921" s="18">
        <f>+G921-H921-I921-J921</f>
        <v>533333</v>
      </c>
      <c r="L921" s="19">
        <f>+L920-G921</f>
        <v>0</v>
      </c>
      <c r="M921" s="20"/>
      <c r="N921" s="20"/>
      <c r="P921" s="55"/>
      <c r="Q921" s="55"/>
      <c r="R921" s="14"/>
      <c r="S921" s="14"/>
    </row>
    <row r="922" spans="2:19" ht="12.95" hidden="1" customHeight="1" x14ac:dyDescent="0.25">
      <c r="B922" s="9" t="s">
        <v>882</v>
      </c>
      <c r="C922" s="10"/>
      <c r="D922" s="11">
        <v>18000000</v>
      </c>
      <c r="E922" s="11">
        <f>+D922</f>
        <v>18000000</v>
      </c>
      <c r="F922" s="11"/>
      <c r="G922" s="11"/>
      <c r="H922" s="11"/>
      <c r="I922" s="11"/>
      <c r="J922" s="11"/>
      <c r="K922" s="11"/>
      <c r="L922" s="11">
        <f>+D922</f>
        <v>18000000</v>
      </c>
      <c r="M922" s="12"/>
      <c r="N922" s="12"/>
      <c r="P922" s="55"/>
      <c r="Q922" s="55"/>
      <c r="R922" s="14"/>
      <c r="S922" s="14"/>
    </row>
    <row r="923" spans="2:19" ht="12.95" hidden="1" customHeight="1" x14ac:dyDescent="0.25">
      <c r="B923" s="16">
        <v>43088.125</v>
      </c>
      <c r="C923" s="36" t="s">
        <v>883</v>
      </c>
      <c r="D923" s="34"/>
      <c r="E923" s="37">
        <v>6000000</v>
      </c>
      <c r="F923" s="37"/>
      <c r="G923" s="37">
        <f>+E923</f>
        <v>6000000</v>
      </c>
      <c r="H923" s="37"/>
      <c r="I923" s="37">
        <v>279945.03000000003</v>
      </c>
      <c r="J923" s="37">
        <v>57960</v>
      </c>
      <c r="K923" s="18">
        <f>+G923-H923-I923-J923</f>
        <v>5662094.9699999997</v>
      </c>
      <c r="L923" s="19">
        <f>+L922-G923</f>
        <v>12000000</v>
      </c>
      <c r="M923" s="20"/>
      <c r="N923" s="20"/>
      <c r="P923" s="55"/>
      <c r="Q923" s="55"/>
      <c r="R923" s="14"/>
      <c r="S923" s="14"/>
    </row>
    <row r="924" spans="2:19" ht="12.95" hidden="1" customHeight="1" x14ac:dyDescent="0.25">
      <c r="B924" s="16">
        <v>43097.125</v>
      </c>
      <c r="C924" s="36" t="s">
        <v>884</v>
      </c>
      <c r="D924" s="34"/>
      <c r="E924" s="37">
        <v>6000000</v>
      </c>
      <c r="F924" s="37"/>
      <c r="G924" s="37">
        <f>+E924</f>
        <v>6000000</v>
      </c>
      <c r="H924" s="37"/>
      <c r="I924" s="37">
        <v>279945.03000000003</v>
      </c>
      <c r="J924" s="37">
        <v>57960</v>
      </c>
      <c r="K924" s="18">
        <f>+G924-H924-I924-J924</f>
        <v>5662094.9699999997</v>
      </c>
      <c r="L924" s="19">
        <f>+L923-G924</f>
        <v>6000000</v>
      </c>
      <c r="M924" s="20"/>
      <c r="N924" s="20"/>
      <c r="P924" s="55"/>
      <c r="Q924" s="55"/>
      <c r="R924" s="14"/>
      <c r="S924" s="14"/>
    </row>
    <row r="925" spans="2:19" ht="12.95" hidden="1" customHeight="1" x14ac:dyDescent="0.25">
      <c r="B925" s="16">
        <v>43110.125</v>
      </c>
      <c r="C925" s="36" t="s">
        <v>885</v>
      </c>
      <c r="D925" s="34"/>
      <c r="E925" s="37">
        <v>3000000</v>
      </c>
      <c r="F925" s="37"/>
      <c r="G925" s="37">
        <f>+E925</f>
        <v>3000000</v>
      </c>
      <c r="H925" s="37">
        <v>0</v>
      </c>
      <c r="I925" s="37">
        <v>0</v>
      </c>
      <c r="J925" s="37">
        <v>28980</v>
      </c>
      <c r="K925" s="18">
        <f>+G925-H925-I925-J925</f>
        <v>2971020</v>
      </c>
      <c r="L925" s="19">
        <f>+L924-G925</f>
        <v>3000000</v>
      </c>
      <c r="M925" s="20"/>
      <c r="N925" s="20"/>
      <c r="P925" s="55"/>
      <c r="Q925" s="55"/>
      <c r="R925" s="14"/>
      <c r="S925" s="14"/>
    </row>
    <row r="926" spans="2:19" ht="12.95" hidden="1" customHeight="1" x14ac:dyDescent="0.25">
      <c r="B926" s="16">
        <v>43110.125</v>
      </c>
      <c r="C926" s="36" t="s">
        <v>24</v>
      </c>
      <c r="D926" s="34"/>
      <c r="E926" s="37">
        <v>3000000</v>
      </c>
      <c r="F926" s="37"/>
      <c r="G926" s="37">
        <f>+E926</f>
        <v>3000000</v>
      </c>
      <c r="H926" s="37">
        <v>0</v>
      </c>
      <c r="I926" s="37">
        <v>0</v>
      </c>
      <c r="J926" s="37">
        <v>0</v>
      </c>
      <c r="K926" s="18">
        <f>+G926-H926-I926-J926</f>
        <v>3000000</v>
      </c>
      <c r="L926" s="19">
        <f>+L925-G926</f>
        <v>0</v>
      </c>
      <c r="M926" s="20"/>
      <c r="N926" s="20"/>
      <c r="P926" s="55"/>
      <c r="Q926" s="55"/>
      <c r="R926" s="14"/>
      <c r="S926" s="14"/>
    </row>
    <row r="927" spans="2:19" ht="12.95" hidden="1" customHeight="1" x14ac:dyDescent="0.25">
      <c r="B927" s="9" t="s">
        <v>886</v>
      </c>
      <c r="C927" s="10"/>
      <c r="D927" s="11">
        <v>17600000</v>
      </c>
      <c r="E927" s="11">
        <f>+D927</f>
        <v>17600000</v>
      </c>
      <c r="F927" s="11"/>
      <c r="G927" s="11"/>
      <c r="H927" s="11"/>
      <c r="I927" s="11"/>
      <c r="J927" s="11"/>
      <c r="K927" s="11"/>
      <c r="L927" s="11">
        <f>+D927</f>
        <v>17600000</v>
      </c>
      <c r="M927" s="12"/>
      <c r="N927" s="12"/>
      <c r="P927" s="55"/>
      <c r="Q927" s="55"/>
      <c r="R927" s="14"/>
      <c r="S927" s="14"/>
    </row>
    <row r="928" spans="2:19" ht="12.95" hidden="1" customHeight="1" x14ac:dyDescent="0.25">
      <c r="B928" s="16">
        <v>43089.125</v>
      </c>
      <c r="C928" s="36" t="s">
        <v>887</v>
      </c>
      <c r="D928" s="34"/>
      <c r="E928" s="37">
        <v>8000000</v>
      </c>
      <c r="F928" s="37"/>
      <c r="G928" s="37">
        <f>+E928</f>
        <v>8000000</v>
      </c>
      <c r="H928" s="37"/>
      <c r="I928" s="37">
        <v>660512</v>
      </c>
      <c r="J928" s="37">
        <v>77280</v>
      </c>
      <c r="K928" s="18">
        <f>+G928-H928-I928-J928</f>
        <v>7262208</v>
      </c>
      <c r="L928" s="19">
        <f>+L927-G928</f>
        <v>9600000</v>
      </c>
      <c r="M928" s="20"/>
      <c r="N928" s="20"/>
      <c r="P928" s="55"/>
      <c r="Q928" s="55"/>
      <c r="R928" s="14"/>
      <c r="S928" s="14"/>
    </row>
    <row r="929" spans="2:19" ht="12.95" hidden="1" customHeight="1" x14ac:dyDescent="0.25">
      <c r="B929" s="16">
        <v>43122.125</v>
      </c>
      <c r="C929" s="36" t="s">
        <v>888</v>
      </c>
      <c r="D929" s="34"/>
      <c r="E929" s="37">
        <v>8000000</v>
      </c>
      <c r="F929" s="37"/>
      <c r="G929" s="37">
        <f>+E929</f>
        <v>8000000</v>
      </c>
      <c r="H929" s="37">
        <v>0</v>
      </c>
      <c r="I929" s="37">
        <v>619008</v>
      </c>
      <c r="J929" s="37">
        <v>77280</v>
      </c>
      <c r="K929" s="18">
        <f>+G929-H929-I929-J929</f>
        <v>7303712</v>
      </c>
      <c r="L929" s="19">
        <f>+L928-G929</f>
        <v>1600000</v>
      </c>
      <c r="M929" s="20"/>
      <c r="N929" s="20"/>
      <c r="P929" s="55"/>
      <c r="Q929" s="55"/>
      <c r="R929" s="14"/>
      <c r="S929" s="14"/>
    </row>
    <row r="930" spans="2:19" ht="12.95" hidden="1" customHeight="1" x14ac:dyDescent="0.25">
      <c r="B930" s="16">
        <v>43165.125</v>
      </c>
      <c r="C930" s="36" t="s">
        <v>889</v>
      </c>
      <c r="D930" s="34"/>
      <c r="E930" s="37">
        <v>1333333.33</v>
      </c>
      <c r="F930" s="37"/>
      <c r="G930" s="37">
        <f>+E930</f>
        <v>1333333.33</v>
      </c>
      <c r="H930" s="37">
        <v>0</v>
      </c>
      <c r="I930" s="37"/>
      <c r="J930" s="37">
        <v>11411.68</v>
      </c>
      <c r="K930" s="18">
        <f>+G930-H930-I930-J930</f>
        <v>1321921.6500000001</v>
      </c>
      <c r="L930" s="19">
        <f>+L929-G930</f>
        <v>266666.66999999993</v>
      </c>
      <c r="M930" s="20"/>
      <c r="N930" s="20"/>
      <c r="O930" s="81"/>
      <c r="P930" s="55"/>
      <c r="Q930" s="55"/>
      <c r="R930" s="14"/>
      <c r="S930" s="14"/>
    </row>
    <row r="931" spans="2:19" ht="12.95" hidden="1" customHeight="1" x14ac:dyDescent="0.25">
      <c r="B931" s="9" t="s">
        <v>890</v>
      </c>
      <c r="C931" s="10"/>
      <c r="D931" s="11">
        <v>12000000</v>
      </c>
      <c r="E931" s="11">
        <f>+D931</f>
        <v>12000000</v>
      </c>
      <c r="F931" s="11"/>
      <c r="G931" s="11"/>
      <c r="H931" s="11"/>
      <c r="I931" s="11"/>
      <c r="J931" s="11"/>
      <c r="K931" s="11"/>
      <c r="L931" s="11">
        <f>+D931</f>
        <v>12000000</v>
      </c>
      <c r="M931" s="12"/>
      <c r="N931" s="12"/>
      <c r="P931" s="55"/>
      <c r="Q931" s="55"/>
      <c r="R931" s="14"/>
      <c r="S931" s="14"/>
    </row>
    <row r="932" spans="2:19" ht="12.95" hidden="1" customHeight="1" x14ac:dyDescent="0.25">
      <c r="B932" s="16">
        <v>43075.125</v>
      </c>
      <c r="C932" s="36" t="s">
        <v>891</v>
      </c>
      <c r="D932" s="34"/>
      <c r="E932" s="37">
        <v>5000000</v>
      </c>
      <c r="F932" s="37">
        <v>0</v>
      </c>
      <c r="G932" s="37">
        <f>+E932</f>
        <v>5000000</v>
      </c>
      <c r="H932" s="37">
        <v>0</v>
      </c>
      <c r="I932" s="37">
        <v>137445.04999999999</v>
      </c>
      <c r="J932" s="37">
        <v>48300</v>
      </c>
      <c r="K932" s="18">
        <f>+G932-H932-I932-J932</f>
        <v>4814254.95</v>
      </c>
      <c r="L932" s="19">
        <f>+L931-G932</f>
        <v>7000000</v>
      </c>
      <c r="M932" s="20"/>
      <c r="N932" s="20"/>
      <c r="P932" s="55"/>
      <c r="Q932" s="55"/>
      <c r="R932" s="14"/>
      <c r="S932" s="14"/>
    </row>
    <row r="933" spans="2:19" ht="12.95" hidden="1" customHeight="1" x14ac:dyDescent="0.25">
      <c r="B933" s="16">
        <v>43122.125</v>
      </c>
      <c r="C933" s="36" t="s">
        <v>892</v>
      </c>
      <c r="D933" s="34"/>
      <c r="E933" s="37">
        <v>5000000</v>
      </c>
      <c r="F933" s="37">
        <v>0</v>
      </c>
      <c r="G933" s="37">
        <f>+E933</f>
        <v>5000000</v>
      </c>
      <c r="H933" s="37">
        <v>0</v>
      </c>
      <c r="I933" s="37">
        <v>114034.19</v>
      </c>
      <c r="J933" s="37">
        <v>48300</v>
      </c>
      <c r="K933" s="18">
        <f>+G933-H933-I933-J933</f>
        <v>4837665.8099999996</v>
      </c>
      <c r="L933" s="19">
        <f>+L932-G933</f>
        <v>2000000</v>
      </c>
      <c r="M933" s="20"/>
      <c r="N933" s="20"/>
      <c r="P933" s="55"/>
      <c r="Q933" s="55"/>
      <c r="R933" s="14"/>
      <c r="S933" s="14"/>
    </row>
    <row r="934" spans="2:19" ht="12.95" hidden="1" customHeight="1" x14ac:dyDescent="0.25">
      <c r="B934" s="16">
        <v>43124.125</v>
      </c>
      <c r="C934" s="36" t="s">
        <v>893</v>
      </c>
      <c r="D934" s="34"/>
      <c r="E934" s="37">
        <v>833333.33</v>
      </c>
      <c r="F934" s="37">
        <v>0</v>
      </c>
      <c r="G934" s="37">
        <f>+E934</f>
        <v>833333.33</v>
      </c>
      <c r="H934" s="37">
        <v>0</v>
      </c>
      <c r="I934" s="37">
        <v>118750</v>
      </c>
      <c r="J934" s="37">
        <v>8050</v>
      </c>
      <c r="K934" s="18">
        <f>+G934-H934-I934-J934</f>
        <v>706533.33</v>
      </c>
      <c r="L934" s="19">
        <f>+L933-G934</f>
        <v>1166666.67</v>
      </c>
      <c r="M934" s="20"/>
      <c r="N934" s="20"/>
      <c r="P934" s="55"/>
      <c r="Q934" s="55"/>
      <c r="R934" s="14"/>
      <c r="S934" s="14"/>
    </row>
    <row r="935" spans="2:19" ht="12.95" hidden="1" customHeight="1" x14ac:dyDescent="0.25">
      <c r="B935" s="16">
        <v>43124.125</v>
      </c>
      <c r="C935" s="36" t="s">
        <v>24</v>
      </c>
      <c r="D935" s="34"/>
      <c r="E935" s="37">
        <v>1166666.67</v>
      </c>
      <c r="F935" s="37">
        <v>0</v>
      </c>
      <c r="G935" s="37">
        <f>+E935</f>
        <v>1166666.67</v>
      </c>
      <c r="H935" s="37">
        <v>0</v>
      </c>
      <c r="I935" s="37">
        <v>0</v>
      </c>
      <c r="J935" s="37">
        <v>0</v>
      </c>
      <c r="K935" s="18">
        <f>+G935-H935-I935-J935</f>
        <v>1166666.67</v>
      </c>
      <c r="L935" s="19">
        <f>+L934-G935</f>
        <v>0</v>
      </c>
      <c r="M935" s="20"/>
      <c r="N935" s="20"/>
      <c r="P935" s="55"/>
      <c r="Q935" s="55"/>
      <c r="R935" s="14"/>
      <c r="S935" s="14"/>
    </row>
    <row r="936" spans="2:19" ht="12.95" hidden="1" customHeight="1" x14ac:dyDescent="0.25">
      <c r="B936" s="9" t="s">
        <v>894</v>
      </c>
      <c r="C936" s="10"/>
      <c r="D936" s="10">
        <f>3812480000+1906240000</f>
        <v>5718720000</v>
      </c>
      <c r="E936" s="10">
        <f>+D936</f>
        <v>5718720000</v>
      </c>
      <c r="F936" s="11"/>
      <c r="G936" s="11"/>
      <c r="H936" s="11"/>
      <c r="I936" s="11"/>
      <c r="J936" s="11"/>
      <c r="K936" s="11"/>
      <c r="L936" s="11">
        <f>+D936</f>
        <v>5718720000</v>
      </c>
      <c r="M936" s="12"/>
      <c r="N936" s="12"/>
      <c r="P936" s="55"/>
      <c r="Q936" s="55"/>
      <c r="R936" s="14"/>
      <c r="S936" s="14"/>
    </row>
    <row r="937" spans="2:19" ht="12.95" hidden="1" customHeight="1" x14ac:dyDescent="0.25">
      <c r="B937" s="35">
        <v>43008.083333333336</v>
      </c>
      <c r="C937" s="17" t="s">
        <v>895</v>
      </c>
      <c r="D937" s="34"/>
      <c r="E937" s="76">
        <v>238280000</v>
      </c>
      <c r="F937" s="18">
        <v>0</v>
      </c>
      <c r="G937" s="37">
        <f t="shared" ref="G937:G959" si="157">+E937</f>
        <v>238280000</v>
      </c>
      <c r="H937" s="18">
        <v>0</v>
      </c>
      <c r="I937" s="18">
        <v>0</v>
      </c>
      <c r="J937" s="18">
        <v>0</v>
      </c>
      <c r="K937" s="18">
        <f t="shared" ref="K937:K959" si="158">+G937-H937-I937-J937</f>
        <v>238280000</v>
      </c>
      <c r="L937" s="18">
        <f>+L936-K937</f>
        <v>5480440000</v>
      </c>
      <c r="M937" s="41"/>
      <c r="N937" s="41"/>
      <c r="P937" s="55"/>
      <c r="Q937" s="55"/>
      <c r="R937" s="14"/>
      <c r="S937" s="14"/>
    </row>
    <row r="938" spans="2:19" ht="12.95" hidden="1" customHeight="1" x14ac:dyDescent="0.25">
      <c r="B938" s="35">
        <v>43031.083333333336</v>
      </c>
      <c r="C938" s="17" t="s">
        <v>896</v>
      </c>
      <c r="D938" s="34"/>
      <c r="E938" s="76">
        <v>238280000</v>
      </c>
      <c r="F938" s="18">
        <v>0</v>
      </c>
      <c r="G938" s="37">
        <f t="shared" si="157"/>
        <v>238280000</v>
      </c>
      <c r="H938" s="18">
        <v>0</v>
      </c>
      <c r="I938" s="18">
        <v>0</v>
      </c>
      <c r="J938" s="18">
        <v>0</v>
      </c>
      <c r="K938" s="18">
        <f t="shared" si="158"/>
        <v>238280000</v>
      </c>
      <c r="L938" s="18">
        <f>+L937-K938</f>
        <v>5242160000</v>
      </c>
      <c r="M938" s="41"/>
      <c r="N938" s="41"/>
      <c r="P938" s="55"/>
      <c r="Q938" s="55"/>
      <c r="R938" s="14"/>
      <c r="S938" s="14"/>
    </row>
    <row r="939" spans="2:19" ht="12.95" hidden="1" customHeight="1" x14ac:dyDescent="0.25">
      <c r="B939" s="35">
        <v>43182.083333333336</v>
      </c>
      <c r="C939" s="17" t="s">
        <v>897</v>
      </c>
      <c r="D939" s="34"/>
      <c r="E939" s="76">
        <v>238280000</v>
      </c>
      <c r="F939" s="18">
        <v>0</v>
      </c>
      <c r="G939" s="37">
        <f t="shared" si="157"/>
        <v>238280000</v>
      </c>
      <c r="H939" s="18">
        <v>0</v>
      </c>
      <c r="I939" s="18">
        <v>0</v>
      </c>
      <c r="J939" s="18">
        <v>0</v>
      </c>
      <c r="K939" s="18">
        <f t="shared" si="158"/>
        <v>238280000</v>
      </c>
      <c r="L939" s="18">
        <f>+L938-K939</f>
        <v>5003880000</v>
      </c>
      <c r="M939" s="41"/>
      <c r="N939" s="41"/>
      <c r="P939" s="55"/>
      <c r="Q939" s="55"/>
      <c r="R939" s="14"/>
      <c r="S939" s="14"/>
    </row>
    <row r="940" spans="2:19" ht="12.95" hidden="1" customHeight="1" x14ac:dyDescent="0.25">
      <c r="B940" s="35">
        <v>43182.083333333336</v>
      </c>
      <c r="C940" s="17" t="s">
        <v>898</v>
      </c>
      <c r="D940" s="34"/>
      <c r="E940" s="76">
        <v>238280000</v>
      </c>
      <c r="F940" s="18">
        <v>0</v>
      </c>
      <c r="G940" s="37">
        <f t="shared" si="157"/>
        <v>238280000</v>
      </c>
      <c r="H940" s="18">
        <v>0</v>
      </c>
      <c r="I940" s="18">
        <v>0</v>
      </c>
      <c r="J940" s="18">
        <v>0</v>
      </c>
      <c r="K940" s="18">
        <f t="shared" si="158"/>
        <v>238280000</v>
      </c>
      <c r="L940" s="18">
        <f t="shared" ref="L940:L959" si="159">+L939-K940</f>
        <v>4765600000</v>
      </c>
      <c r="M940" s="41"/>
      <c r="N940" s="41"/>
      <c r="P940" s="55"/>
      <c r="Q940" s="55"/>
      <c r="R940" s="14"/>
      <c r="S940" s="14"/>
    </row>
    <row r="941" spans="2:19" ht="12.95" hidden="1" customHeight="1" x14ac:dyDescent="0.25">
      <c r="B941" s="35">
        <v>43236.083333333336</v>
      </c>
      <c r="C941" s="17" t="s">
        <v>899</v>
      </c>
      <c r="D941" s="34"/>
      <c r="E941" s="76">
        <v>238280000</v>
      </c>
      <c r="F941" s="18">
        <v>0</v>
      </c>
      <c r="G941" s="37">
        <f t="shared" si="157"/>
        <v>238280000</v>
      </c>
      <c r="H941" s="18">
        <v>0</v>
      </c>
      <c r="I941" s="18">
        <v>0</v>
      </c>
      <c r="J941" s="18">
        <v>0</v>
      </c>
      <c r="K941" s="18">
        <f t="shared" si="158"/>
        <v>238280000</v>
      </c>
      <c r="L941" s="18">
        <f t="shared" si="159"/>
        <v>4527320000</v>
      </c>
      <c r="M941" s="41"/>
      <c r="N941" s="41"/>
      <c r="P941" s="55"/>
      <c r="Q941" s="55"/>
      <c r="R941" s="14"/>
      <c r="S941" s="14"/>
    </row>
    <row r="942" spans="2:19" ht="12.95" hidden="1" customHeight="1" x14ac:dyDescent="0.25">
      <c r="B942" s="35">
        <v>43251.083333333336</v>
      </c>
      <c r="C942" s="17" t="s">
        <v>900</v>
      </c>
      <c r="D942" s="34"/>
      <c r="E942" s="76">
        <v>238280000</v>
      </c>
      <c r="F942" s="18"/>
      <c r="G942" s="37">
        <f t="shared" si="157"/>
        <v>238280000</v>
      </c>
      <c r="H942" s="18">
        <v>0</v>
      </c>
      <c r="I942" s="18">
        <v>0</v>
      </c>
      <c r="J942" s="18">
        <v>0</v>
      </c>
      <c r="K942" s="18">
        <f t="shared" si="158"/>
        <v>238280000</v>
      </c>
      <c r="L942" s="18">
        <f t="shared" si="159"/>
        <v>4289040000</v>
      </c>
      <c r="M942" s="41"/>
      <c r="N942" s="41"/>
      <c r="P942" s="55"/>
      <c r="Q942" s="55"/>
      <c r="R942" s="14"/>
      <c r="S942" s="14"/>
    </row>
    <row r="943" spans="2:19" ht="12.95" hidden="1" customHeight="1" x14ac:dyDescent="0.25">
      <c r="B943" s="35">
        <v>43278</v>
      </c>
      <c r="C943" s="17" t="s">
        <v>901</v>
      </c>
      <c r="D943" s="34"/>
      <c r="E943" s="76">
        <v>238280000</v>
      </c>
      <c r="F943" s="18">
        <v>0</v>
      </c>
      <c r="G943" s="37">
        <f t="shared" si="157"/>
        <v>238280000</v>
      </c>
      <c r="H943" s="18">
        <v>0</v>
      </c>
      <c r="I943" s="18">
        <v>0</v>
      </c>
      <c r="J943" s="18">
        <v>0</v>
      </c>
      <c r="K943" s="18">
        <f t="shared" si="158"/>
        <v>238280000</v>
      </c>
      <c r="L943" s="18">
        <f t="shared" si="159"/>
        <v>4050760000</v>
      </c>
      <c r="M943" s="41"/>
      <c r="N943" s="41"/>
      <c r="P943" s="55"/>
      <c r="Q943" s="55"/>
      <c r="R943" s="14"/>
      <c r="S943" s="14"/>
    </row>
    <row r="944" spans="2:19" ht="12.95" hidden="1" customHeight="1" x14ac:dyDescent="0.25">
      <c r="B944" s="35">
        <v>43339.083333333336</v>
      </c>
      <c r="C944" s="17" t="s">
        <v>902</v>
      </c>
      <c r="D944" s="34"/>
      <c r="E944" s="76">
        <v>238280000</v>
      </c>
      <c r="F944" s="18">
        <v>0</v>
      </c>
      <c r="G944" s="37">
        <f t="shared" si="157"/>
        <v>238280000</v>
      </c>
      <c r="H944" s="18">
        <v>0</v>
      </c>
      <c r="I944" s="18">
        <v>0</v>
      </c>
      <c r="J944" s="18">
        <v>0</v>
      </c>
      <c r="K944" s="18">
        <f t="shared" si="158"/>
        <v>238280000</v>
      </c>
      <c r="L944" s="18">
        <f t="shared" si="159"/>
        <v>3812480000</v>
      </c>
      <c r="M944" s="41"/>
      <c r="N944" s="41"/>
      <c r="P944" s="55"/>
      <c r="Q944" s="55"/>
      <c r="R944" s="14"/>
      <c r="S944" s="14"/>
    </row>
    <row r="945" spans="2:19" ht="12.95" hidden="1" customHeight="1" x14ac:dyDescent="0.25">
      <c r="B945" s="35">
        <v>43339.083333333336</v>
      </c>
      <c r="C945" s="17" t="s">
        <v>903</v>
      </c>
      <c r="D945" s="34"/>
      <c r="E945" s="76">
        <v>238280000</v>
      </c>
      <c r="F945" s="18"/>
      <c r="G945" s="37">
        <f t="shared" si="157"/>
        <v>238280000</v>
      </c>
      <c r="H945" s="18">
        <v>0</v>
      </c>
      <c r="I945" s="18">
        <v>0</v>
      </c>
      <c r="J945" s="18">
        <v>0</v>
      </c>
      <c r="K945" s="18">
        <f t="shared" si="158"/>
        <v>238280000</v>
      </c>
      <c r="L945" s="18">
        <f t="shared" si="159"/>
        <v>3574200000</v>
      </c>
      <c r="M945" s="41"/>
      <c r="N945" s="41"/>
      <c r="P945" s="55"/>
      <c r="Q945" s="55"/>
      <c r="R945" s="14"/>
      <c r="S945" s="14"/>
    </row>
    <row r="946" spans="2:19" ht="12.95" hidden="1" customHeight="1" x14ac:dyDescent="0.25">
      <c r="B946" s="35">
        <v>43339.083333333336</v>
      </c>
      <c r="C946" s="17" t="s">
        <v>904</v>
      </c>
      <c r="D946" s="34"/>
      <c r="E946" s="76">
        <v>238280000</v>
      </c>
      <c r="F946" s="18">
        <v>0</v>
      </c>
      <c r="G946" s="37">
        <f t="shared" si="157"/>
        <v>238280000</v>
      </c>
      <c r="H946" s="18">
        <v>0</v>
      </c>
      <c r="I946" s="18">
        <v>0</v>
      </c>
      <c r="J946" s="18">
        <v>0</v>
      </c>
      <c r="K946" s="18">
        <f t="shared" si="158"/>
        <v>238280000</v>
      </c>
      <c r="L946" s="18">
        <f t="shared" si="159"/>
        <v>3335920000</v>
      </c>
      <c r="M946" s="41"/>
      <c r="N946" s="41"/>
      <c r="O946" s="81">
        <f>+L961-'[1]ANEXO 7 - PPTO VIG 2019'!T88</f>
        <v>-4.8428773880004883E-8</v>
      </c>
      <c r="P946" s="55"/>
      <c r="Q946" s="55"/>
      <c r="R946" s="14"/>
      <c r="S946" s="14"/>
    </row>
    <row r="947" spans="2:19" ht="12.95" hidden="1" customHeight="1" x14ac:dyDescent="0.25">
      <c r="B947" s="35">
        <v>43371.083333333336</v>
      </c>
      <c r="C947" s="17" t="s">
        <v>905</v>
      </c>
      <c r="D947" s="34"/>
      <c r="E947" s="76">
        <v>238280000</v>
      </c>
      <c r="F947" s="18">
        <v>0</v>
      </c>
      <c r="G947" s="37">
        <f t="shared" si="157"/>
        <v>238280000</v>
      </c>
      <c r="H947" s="18">
        <v>0</v>
      </c>
      <c r="I947" s="18">
        <v>0</v>
      </c>
      <c r="J947" s="18">
        <v>0</v>
      </c>
      <c r="K947" s="18">
        <f t="shared" si="158"/>
        <v>238280000</v>
      </c>
      <c r="L947" s="18">
        <f t="shared" si="159"/>
        <v>3097640000</v>
      </c>
      <c r="M947" s="41"/>
      <c r="N947" s="41"/>
      <c r="O947" s="81"/>
      <c r="P947" s="55"/>
      <c r="Q947" s="55"/>
      <c r="R947" s="14"/>
      <c r="S947" s="14"/>
    </row>
    <row r="948" spans="2:19" ht="12.95" hidden="1" customHeight="1" x14ac:dyDescent="0.25">
      <c r="B948" s="35">
        <v>43451.125</v>
      </c>
      <c r="C948" s="17" t="s">
        <v>906</v>
      </c>
      <c r="D948" s="34"/>
      <c r="E948" s="76">
        <v>238280000</v>
      </c>
      <c r="F948" s="18">
        <v>0</v>
      </c>
      <c r="G948" s="37">
        <f t="shared" si="157"/>
        <v>238280000</v>
      </c>
      <c r="H948" s="18">
        <v>0</v>
      </c>
      <c r="I948" s="18">
        <v>0</v>
      </c>
      <c r="J948" s="18">
        <v>0</v>
      </c>
      <c r="K948" s="18">
        <f t="shared" si="158"/>
        <v>238280000</v>
      </c>
      <c r="L948" s="18">
        <f t="shared" si="159"/>
        <v>2859360000</v>
      </c>
      <c r="M948" s="41"/>
      <c r="N948" s="41"/>
      <c r="O948" s="81"/>
      <c r="P948" s="55"/>
      <c r="Q948" s="55"/>
      <c r="R948" s="14"/>
      <c r="S948" s="14"/>
    </row>
    <row r="949" spans="2:19" ht="12.95" hidden="1" customHeight="1" x14ac:dyDescent="0.25">
      <c r="B949" s="35">
        <v>43467.125</v>
      </c>
      <c r="C949" s="17" t="s">
        <v>907</v>
      </c>
      <c r="D949" s="34"/>
      <c r="E949" s="76">
        <v>238280000</v>
      </c>
      <c r="F949" s="18">
        <v>0</v>
      </c>
      <c r="G949" s="37">
        <f t="shared" si="157"/>
        <v>238280000</v>
      </c>
      <c r="H949" s="18">
        <v>0</v>
      </c>
      <c r="I949" s="18">
        <v>0</v>
      </c>
      <c r="J949" s="18">
        <v>0</v>
      </c>
      <c r="K949" s="18">
        <f t="shared" si="158"/>
        <v>238280000</v>
      </c>
      <c r="L949" s="18">
        <f t="shared" si="159"/>
        <v>2621080000</v>
      </c>
      <c r="M949" s="41"/>
      <c r="N949" s="41"/>
      <c r="O949" s="81"/>
      <c r="P949" s="55"/>
      <c r="Q949" s="55"/>
      <c r="R949" s="14"/>
      <c r="S949" s="14"/>
    </row>
    <row r="950" spans="2:19" ht="12.95" hidden="1" customHeight="1" x14ac:dyDescent="0.25">
      <c r="B950" s="35">
        <v>43467.125</v>
      </c>
      <c r="C950" s="17" t="s">
        <v>908</v>
      </c>
      <c r="D950" s="34"/>
      <c r="E950" s="76">
        <v>238280000</v>
      </c>
      <c r="F950" s="18">
        <v>0</v>
      </c>
      <c r="G950" s="37">
        <f t="shared" si="157"/>
        <v>238280000</v>
      </c>
      <c r="H950" s="18">
        <v>0</v>
      </c>
      <c r="I950" s="18">
        <v>0</v>
      </c>
      <c r="J950" s="18">
        <v>0</v>
      </c>
      <c r="K950" s="18">
        <f t="shared" si="158"/>
        <v>238280000</v>
      </c>
      <c r="L950" s="18">
        <f t="shared" si="159"/>
        <v>2382800000</v>
      </c>
      <c r="M950" s="41"/>
      <c r="N950" s="41"/>
      <c r="O950" s="81"/>
      <c r="P950" s="55"/>
      <c r="Q950" s="55"/>
      <c r="R950" s="14"/>
      <c r="S950" s="14"/>
    </row>
    <row r="951" spans="2:19" ht="12.95" hidden="1" customHeight="1" x14ac:dyDescent="0.25">
      <c r="B951" s="35">
        <v>43503.125</v>
      </c>
      <c r="C951" s="17" t="s">
        <v>909</v>
      </c>
      <c r="D951" s="34"/>
      <c r="E951" s="76">
        <v>238280000</v>
      </c>
      <c r="F951" s="18">
        <v>0</v>
      </c>
      <c r="G951" s="37">
        <f t="shared" si="157"/>
        <v>238280000</v>
      </c>
      <c r="H951" s="18">
        <v>0</v>
      </c>
      <c r="I951" s="18">
        <v>0</v>
      </c>
      <c r="J951" s="18">
        <v>0</v>
      </c>
      <c r="K951" s="18">
        <f t="shared" si="158"/>
        <v>238280000</v>
      </c>
      <c r="L951" s="18">
        <f t="shared" si="159"/>
        <v>2144520000</v>
      </c>
      <c r="M951" s="41"/>
      <c r="N951" s="41"/>
      <c r="O951" s="81"/>
      <c r="P951" s="55"/>
      <c r="Q951" s="55"/>
      <c r="R951" s="14"/>
      <c r="S951" s="14"/>
    </row>
    <row r="952" spans="2:19" ht="12.95" hidden="1" customHeight="1" x14ac:dyDescent="0.25">
      <c r="B952" s="35">
        <v>43607.083333333336</v>
      </c>
      <c r="C952" s="17" t="s">
        <v>910</v>
      </c>
      <c r="D952" s="34"/>
      <c r="E952" s="76">
        <v>238280000</v>
      </c>
      <c r="F952" s="18">
        <v>0</v>
      </c>
      <c r="G952" s="37">
        <f t="shared" si="157"/>
        <v>238280000</v>
      </c>
      <c r="H952" s="18">
        <v>0</v>
      </c>
      <c r="I952" s="18">
        <v>0</v>
      </c>
      <c r="J952" s="18">
        <v>0</v>
      </c>
      <c r="K952" s="18">
        <f t="shared" si="158"/>
        <v>238280000</v>
      </c>
      <c r="L952" s="18">
        <f t="shared" si="159"/>
        <v>1906240000</v>
      </c>
      <c r="M952" s="41"/>
      <c r="N952" s="41"/>
      <c r="O952" s="81"/>
      <c r="P952" s="55"/>
      <c r="Q952" s="55"/>
      <c r="R952" s="14"/>
      <c r="S952" s="14"/>
    </row>
    <row r="953" spans="2:19" ht="12.95" hidden="1" customHeight="1" x14ac:dyDescent="0.25">
      <c r="B953" s="35">
        <v>43607.083333333336</v>
      </c>
      <c r="C953" s="17" t="s">
        <v>911</v>
      </c>
      <c r="D953" s="34"/>
      <c r="E953" s="76">
        <v>238280000</v>
      </c>
      <c r="F953" s="18">
        <v>0</v>
      </c>
      <c r="G953" s="37">
        <f t="shared" si="157"/>
        <v>238280000</v>
      </c>
      <c r="H953" s="18">
        <v>0</v>
      </c>
      <c r="I953" s="18">
        <v>0</v>
      </c>
      <c r="J953" s="18">
        <v>0</v>
      </c>
      <c r="K953" s="18">
        <f t="shared" si="158"/>
        <v>238280000</v>
      </c>
      <c r="L953" s="18">
        <f t="shared" si="159"/>
        <v>1667960000</v>
      </c>
      <c r="M953" s="41"/>
      <c r="N953" s="41"/>
      <c r="O953" s="81"/>
      <c r="P953" s="55"/>
      <c r="Q953" s="55"/>
      <c r="R953" s="14"/>
      <c r="S953" s="14"/>
    </row>
    <row r="954" spans="2:19" ht="12.95" hidden="1" customHeight="1" x14ac:dyDescent="0.25">
      <c r="B954" s="35">
        <v>43607.083333333336</v>
      </c>
      <c r="C954" s="17" t="s">
        <v>912</v>
      </c>
      <c r="D954" s="34"/>
      <c r="E954" s="76">
        <v>238280000</v>
      </c>
      <c r="F954" s="18">
        <v>0</v>
      </c>
      <c r="G954" s="37">
        <f t="shared" si="157"/>
        <v>238280000</v>
      </c>
      <c r="H954" s="18">
        <v>0</v>
      </c>
      <c r="I954" s="18">
        <v>0</v>
      </c>
      <c r="J954" s="18">
        <v>0</v>
      </c>
      <c r="K954" s="18">
        <f t="shared" si="158"/>
        <v>238280000</v>
      </c>
      <c r="L954" s="18">
        <f t="shared" si="159"/>
        <v>1429680000</v>
      </c>
      <c r="M954" s="41"/>
      <c r="N954" s="41"/>
      <c r="O954" s="81"/>
      <c r="P954" s="55"/>
      <c r="Q954" s="55"/>
      <c r="R954" s="14"/>
      <c r="S954" s="14"/>
    </row>
    <row r="955" spans="2:19" ht="12.95" hidden="1" customHeight="1" x14ac:dyDescent="0.25">
      <c r="B955" s="35">
        <v>43608.083333333336</v>
      </c>
      <c r="C955" s="17" t="s">
        <v>913</v>
      </c>
      <c r="D955" s="34"/>
      <c r="E955" s="76">
        <v>238280000</v>
      </c>
      <c r="F955" s="18">
        <v>0</v>
      </c>
      <c r="G955" s="37">
        <f t="shared" si="157"/>
        <v>238280000</v>
      </c>
      <c r="H955" s="18">
        <v>0</v>
      </c>
      <c r="I955" s="18">
        <v>0</v>
      </c>
      <c r="J955" s="18">
        <v>0</v>
      </c>
      <c r="K955" s="18">
        <f t="shared" si="158"/>
        <v>238280000</v>
      </c>
      <c r="L955" s="18">
        <f t="shared" si="159"/>
        <v>1191400000</v>
      </c>
      <c r="M955" s="41"/>
      <c r="N955" s="41"/>
      <c r="O955" s="81"/>
      <c r="P955" s="55"/>
      <c r="Q955" s="55"/>
      <c r="R955" s="14"/>
      <c r="S955" s="14"/>
    </row>
    <row r="956" spans="2:19" ht="12.95" hidden="1" customHeight="1" x14ac:dyDescent="0.25">
      <c r="B956" s="35">
        <v>43683.083333333336</v>
      </c>
      <c r="C956" s="17" t="s">
        <v>914</v>
      </c>
      <c r="D956" s="34"/>
      <c r="E956" s="76">
        <v>238280000</v>
      </c>
      <c r="F956" s="18">
        <v>0</v>
      </c>
      <c r="G956" s="37">
        <f t="shared" si="157"/>
        <v>238280000</v>
      </c>
      <c r="H956" s="18">
        <v>0</v>
      </c>
      <c r="I956" s="18">
        <v>0</v>
      </c>
      <c r="J956" s="18">
        <v>0</v>
      </c>
      <c r="K956" s="18">
        <f t="shared" si="158"/>
        <v>238280000</v>
      </c>
      <c r="L956" s="18">
        <f t="shared" si="159"/>
        <v>953120000</v>
      </c>
      <c r="M956" s="41"/>
      <c r="N956" s="41"/>
      <c r="O956" s="81"/>
      <c r="P956" s="55"/>
      <c r="Q956" s="55"/>
      <c r="R956" s="14"/>
      <c r="S956" s="14"/>
    </row>
    <row r="957" spans="2:19" ht="12.95" hidden="1" customHeight="1" x14ac:dyDescent="0.25">
      <c r="B957" s="35">
        <v>43683.083333333336</v>
      </c>
      <c r="C957" s="17" t="s">
        <v>915</v>
      </c>
      <c r="D957" s="34"/>
      <c r="E957" s="76">
        <v>238280000</v>
      </c>
      <c r="F957" s="18">
        <v>0</v>
      </c>
      <c r="G957" s="37">
        <f t="shared" si="157"/>
        <v>238280000</v>
      </c>
      <c r="H957" s="18">
        <v>0</v>
      </c>
      <c r="I957" s="18">
        <v>0</v>
      </c>
      <c r="J957" s="18">
        <v>0</v>
      </c>
      <c r="K957" s="18">
        <f t="shared" si="158"/>
        <v>238280000</v>
      </c>
      <c r="L957" s="18">
        <f t="shared" si="159"/>
        <v>714840000</v>
      </c>
      <c r="M957" s="41"/>
      <c r="N957" s="41"/>
      <c r="O957" s="81"/>
      <c r="P957" s="55"/>
      <c r="Q957" s="55"/>
      <c r="R957" s="14"/>
      <c r="S957" s="14"/>
    </row>
    <row r="958" spans="2:19" ht="12.95" hidden="1" customHeight="1" x14ac:dyDescent="0.25">
      <c r="B958" s="35">
        <v>43706.083333333336</v>
      </c>
      <c r="C958" s="17" t="s">
        <v>916</v>
      </c>
      <c r="D958" s="34"/>
      <c r="E958" s="76">
        <v>238280000</v>
      </c>
      <c r="F958" s="18">
        <v>0</v>
      </c>
      <c r="G958" s="37">
        <f t="shared" si="157"/>
        <v>238280000</v>
      </c>
      <c r="H958" s="18">
        <v>0</v>
      </c>
      <c r="I958" s="18">
        <v>0</v>
      </c>
      <c r="J958" s="18">
        <v>0</v>
      </c>
      <c r="K958" s="18">
        <f t="shared" si="158"/>
        <v>238280000</v>
      </c>
      <c r="L958" s="18">
        <f t="shared" si="159"/>
        <v>476560000</v>
      </c>
      <c r="M958" s="41"/>
      <c r="N958" s="41"/>
      <c r="O958" s="81"/>
      <c r="P958" s="55"/>
      <c r="Q958" s="55"/>
      <c r="R958" s="14"/>
      <c r="S958" s="14"/>
    </row>
    <row r="959" spans="2:19" ht="12.95" hidden="1" customHeight="1" x14ac:dyDescent="0.25">
      <c r="B959" s="35">
        <v>43788.125</v>
      </c>
      <c r="C959" s="17" t="s">
        <v>917</v>
      </c>
      <c r="D959" s="34"/>
      <c r="E959" s="76">
        <v>227964858.80000001</v>
      </c>
      <c r="F959" s="18">
        <v>0</v>
      </c>
      <c r="G959" s="37">
        <f t="shared" si="157"/>
        <v>227964858.80000001</v>
      </c>
      <c r="H959" s="18">
        <v>0</v>
      </c>
      <c r="I959" s="18">
        <v>0</v>
      </c>
      <c r="J959" s="18">
        <v>0</v>
      </c>
      <c r="K959" s="18">
        <f t="shared" si="158"/>
        <v>227964858.80000001</v>
      </c>
      <c r="L959" s="18">
        <f t="shared" si="159"/>
        <v>248595141.19999999</v>
      </c>
      <c r="M959" s="41"/>
      <c r="N959" s="41"/>
      <c r="O959" s="81"/>
      <c r="P959" s="55"/>
      <c r="Q959" s="55"/>
      <c r="R959" s="14"/>
      <c r="S959" s="14"/>
    </row>
    <row r="960" spans="2:19" ht="12.95" hidden="1" customHeight="1" x14ac:dyDescent="0.25">
      <c r="B960" s="35">
        <v>43861.125</v>
      </c>
      <c r="C960" s="17" t="s">
        <v>918</v>
      </c>
      <c r="D960" s="34"/>
      <c r="E960" s="76">
        <v>238280000</v>
      </c>
      <c r="F960" s="18">
        <v>0</v>
      </c>
      <c r="G960" s="37">
        <f>+E960</f>
        <v>238280000</v>
      </c>
      <c r="H960" s="18">
        <v>0</v>
      </c>
      <c r="I960" s="18">
        <v>0</v>
      </c>
      <c r="J960" s="18">
        <v>0</v>
      </c>
      <c r="K960" s="18">
        <f>+G960-H960-I960-J960</f>
        <v>238280000</v>
      </c>
      <c r="L960" s="18">
        <f>+L959-K960</f>
        <v>10315141.199999988</v>
      </c>
      <c r="M960" s="41"/>
      <c r="N960" s="41"/>
      <c r="O960" s="81"/>
      <c r="P960" s="55"/>
      <c r="Q960" s="55"/>
      <c r="R960" s="14"/>
      <c r="S960" s="14"/>
    </row>
    <row r="961" spans="2:19" ht="12.95" hidden="1" customHeight="1" x14ac:dyDescent="0.25">
      <c r="B961" s="35"/>
      <c r="C961" s="17" t="s">
        <v>654</v>
      </c>
      <c r="D961" s="34"/>
      <c r="E961" s="76">
        <v>10315141.199999999</v>
      </c>
      <c r="F961" s="18"/>
      <c r="G961" s="37"/>
      <c r="H961" s="18"/>
      <c r="I961" s="18"/>
      <c r="J961" s="18"/>
      <c r="K961" s="18"/>
      <c r="L961" s="18">
        <f>+L960-E961</f>
        <v>0</v>
      </c>
      <c r="M961" s="41"/>
      <c r="N961" s="41"/>
      <c r="O961" s="81"/>
      <c r="P961" s="55"/>
      <c r="Q961" s="55"/>
      <c r="R961" s="14"/>
      <c r="S961" s="14"/>
    </row>
    <row r="962" spans="2:19" ht="12.95" hidden="1" customHeight="1" x14ac:dyDescent="0.25">
      <c r="B962" s="9" t="s">
        <v>919</v>
      </c>
      <c r="C962" s="10"/>
      <c r="D962" s="10">
        <v>400000000</v>
      </c>
      <c r="E962" s="11">
        <f>+D962</f>
        <v>400000000</v>
      </c>
      <c r="F962" s="272"/>
      <c r="G962" s="272"/>
      <c r="H962" s="272"/>
      <c r="I962" s="272"/>
      <c r="J962" s="272"/>
      <c r="K962" s="272"/>
      <c r="L962" s="11">
        <f>+D962</f>
        <v>400000000</v>
      </c>
      <c r="M962" s="12"/>
      <c r="N962" s="12"/>
      <c r="P962" s="55"/>
      <c r="Q962" s="55"/>
      <c r="R962" s="14"/>
      <c r="S962" s="14"/>
    </row>
    <row r="963" spans="2:19" ht="12.95" hidden="1" customHeight="1" x14ac:dyDescent="0.25">
      <c r="B963" s="16">
        <v>43124.125</v>
      </c>
      <c r="C963" s="50" t="s">
        <v>920</v>
      </c>
      <c r="D963" s="34"/>
      <c r="E963" s="37">
        <v>400000000</v>
      </c>
      <c r="F963" s="37"/>
      <c r="G963" s="37">
        <f>+E963</f>
        <v>400000000</v>
      </c>
      <c r="H963" s="64">
        <v>0</v>
      </c>
      <c r="I963" s="64">
        <v>9579831.9000000004</v>
      </c>
      <c r="J963" s="64">
        <v>3247058.83</v>
      </c>
      <c r="K963" s="18">
        <f>+G963-I963-J963</f>
        <v>387173109.27000004</v>
      </c>
      <c r="L963" s="19">
        <f>+L962-G963</f>
        <v>0</v>
      </c>
      <c r="M963" s="20"/>
      <c r="N963" s="20"/>
      <c r="P963" s="55"/>
      <c r="Q963" s="55"/>
      <c r="R963" s="14"/>
      <c r="S963" s="14"/>
    </row>
    <row r="964" spans="2:19" ht="12.95" hidden="1" customHeight="1" x14ac:dyDescent="0.25">
      <c r="B964" s="9" t="s">
        <v>921</v>
      </c>
      <c r="C964" s="10"/>
      <c r="D964" s="11">
        <v>96000000</v>
      </c>
      <c r="E964" s="11">
        <f>+D964</f>
        <v>96000000</v>
      </c>
      <c r="F964" s="11"/>
      <c r="G964" s="11"/>
      <c r="H964" s="11"/>
      <c r="I964" s="11"/>
      <c r="J964" s="11"/>
      <c r="K964" s="11"/>
      <c r="L964" s="11">
        <f>+D964</f>
        <v>96000000</v>
      </c>
      <c r="M964" s="12"/>
      <c r="N964" s="12"/>
      <c r="P964" s="55"/>
      <c r="Q964" s="55"/>
      <c r="R964" s="14"/>
      <c r="S964" s="14"/>
    </row>
    <row r="965" spans="2:19" ht="12.95" hidden="1" customHeight="1" x14ac:dyDescent="0.25">
      <c r="B965" s="16">
        <v>43154.125</v>
      </c>
      <c r="C965" s="50" t="s">
        <v>922</v>
      </c>
      <c r="D965" s="34"/>
      <c r="E965" s="77">
        <v>8000000</v>
      </c>
      <c r="F965" s="18"/>
      <c r="G965" s="49">
        <f>+E965</f>
        <v>8000000</v>
      </c>
      <c r="H965" s="64"/>
      <c r="I965" s="64">
        <v>296377.21000000002</v>
      </c>
      <c r="J965" s="64">
        <v>68470.080000000002</v>
      </c>
      <c r="K965" s="18">
        <f t="shared" ref="K965:K975" si="160">+G965-H965-I965-J965</f>
        <v>7635152.71</v>
      </c>
      <c r="L965" s="19">
        <f t="shared" ref="L965:L975" si="161">+L964-G965</f>
        <v>88000000</v>
      </c>
      <c r="M965" s="20"/>
      <c r="N965" s="20"/>
      <c r="P965" s="55"/>
      <c r="Q965" s="55"/>
      <c r="R965" s="14"/>
      <c r="S965" s="14"/>
    </row>
    <row r="966" spans="2:19" ht="12.95" hidden="1" customHeight="1" x14ac:dyDescent="0.25">
      <c r="B966" s="16">
        <v>43186.083333333336</v>
      </c>
      <c r="C966" s="50" t="s">
        <v>923</v>
      </c>
      <c r="D966" s="34"/>
      <c r="E966" s="77">
        <v>8000000</v>
      </c>
      <c r="F966" s="18"/>
      <c r="G966" s="49">
        <f t="shared" ref="G966:G975" si="162">+E966</f>
        <v>8000000</v>
      </c>
      <c r="H966" s="64"/>
      <c r="I966" s="64">
        <v>290620.2</v>
      </c>
      <c r="J966" s="64">
        <v>68470.080000000002</v>
      </c>
      <c r="K966" s="18">
        <f t="shared" si="160"/>
        <v>7640909.7199999997</v>
      </c>
      <c r="L966" s="19">
        <f t="shared" si="161"/>
        <v>80000000</v>
      </c>
      <c r="M966" s="20"/>
      <c r="N966" s="20"/>
      <c r="P966" s="55"/>
      <c r="Q966" s="55"/>
      <c r="R966" s="14"/>
      <c r="S966" s="14"/>
    </row>
    <row r="967" spans="2:19" ht="12.75" hidden="1" customHeight="1" x14ac:dyDescent="0.25">
      <c r="B967" s="16">
        <v>43210.083333333336</v>
      </c>
      <c r="C967" s="50" t="s">
        <v>924</v>
      </c>
      <c r="D967" s="34"/>
      <c r="E967" s="77">
        <v>8000000</v>
      </c>
      <c r="F967" s="18"/>
      <c r="G967" s="49">
        <f t="shared" si="162"/>
        <v>8000000</v>
      </c>
      <c r="H967" s="64"/>
      <c r="I967" s="64">
        <v>290620.2</v>
      </c>
      <c r="J967" s="64">
        <v>68470.080000000002</v>
      </c>
      <c r="K967" s="18">
        <f t="shared" si="160"/>
        <v>7640909.7199999997</v>
      </c>
      <c r="L967" s="19">
        <f t="shared" si="161"/>
        <v>72000000</v>
      </c>
      <c r="M967" s="20"/>
      <c r="N967" s="20"/>
      <c r="P967" s="55"/>
      <c r="Q967" s="55"/>
      <c r="R967" s="14"/>
      <c r="S967" s="14"/>
    </row>
    <row r="968" spans="2:19" ht="12.95" hidden="1" customHeight="1" x14ac:dyDescent="0.25">
      <c r="B968" s="16">
        <v>43238.083333333336</v>
      </c>
      <c r="C968" s="50" t="s">
        <v>925</v>
      </c>
      <c r="D968" s="34"/>
      <c r="E968" s="77">
        <v>8000000</v>
      </c>
      <c r="F968" s="18"/>
      <c r="G968" s="49">
        <f t="shared" si="162"/>
        <v>8000000</v>
      </c>
      <c r="H968" s="64"/>
      <c r="I968" s="64">
        <v>290620.2</v>
      </c>
      <c r="J968" s="64">
        <v>68470.080000000002</v>
      </c>
      <c r="K968" s="18">
        <f t="shared" si="160"/>
        <v>7640909.7199999997</v>
      </c>
      <c r="L968" s="19">
        <f t="shared" si="161"/>
        <v>64000000</v>
      </c>
      <c r="M968" s="20"/>
      <c r="N968" s="20"/>
      <c r="P968" s="55"/>
      <c r="Q968" s="55"/>
      <c r="R968" s="14"/>
      <c r="S968" s="14"/>
    </row>
    <row r="969" spans="2:19" ht="12.95" hidden="1" customHeight="1" x14ac:dyDescent="0.25">
      <c r="B969" s="16">
        <v>43272.083333333336</v>
      </c>
      <c r="C969" s="50" t="s">
        <v>926</v>
      </c>
      <c r="D969" s="34"/>
      <c r="E969" s="77">
        <v>8000000</v>
      </c>
      <c r="F969" s="18"/>
      <c r="G969" s="49">
        <f t="shared" si="162"/>
        <v>8000000</v>
      </c>
      <c r="H969" s="64"/>
      <c r="I969" s="64">
        <v>290620.2</v>
      </c>
      <c r="J969" s="64">
        <v>68470.080000000002</v>
      </c>
      <c r="K969" s="18">
        <f t="shared" si="160"/>
        <v>7640909.7199999997</v>
      </c>
      <c r="L969" s="19">
        <f t="shared" si="161"/>
        <v>56000000</v>
      </c>
      <c r="M969" s="20"/>
      <c r="N969" s="20"/>
      <c r="P969" s="55"/>
      <c r="Q969" s="55"/>
      <c r="R969" s="14"/>
      <c r="S969" s="14"/>
    </row>
    <row r="970" spans="2:19" ht="12.95" hidden="1" customHeight="1" x14ac:dyDescent="0.25">
      <c r="B970" s="16">
        <v>43307.083333333336</v>
      </c>
      <c r="C970" s="50" t="s">
        <v>927</v>
      </c>
      <c r="D970" s="34"/>
      <c r="E970" s="77">
        <v>8000000</v>
      </c>
      <c r="F970" s="18"/>
      <c r="G970" s="49">
        <f t="shared" si="162"/>
        <v>8000000</v>
      </c>
      <c r="H970" s="64"/>
      <c r="I970" s="64">
        <v>290620.2</v>
      </c>
      <c r="J970" s="18">
        <v>68470.080000000002</v>
      </c>
      <c r="K970" s="18">
        <f t="shared" si="160"/>
        <v>7640909.7199999997</v>
      </c>
      <c r="L970" s="19">
        <f t="shared" si="161"/>
        <v>48000000</v>
      </c>
      <c r="M970" s="20"/>
      <c r="N970" s="20"/>
      <c r="P970" s="55"/>
      <c r="Q970" s="55"/>
      <c r="R970" s="14"/>
      <c r="S970" s="14"/>
    </row>
    <row r="971" spans="2:19" ht="12.95" hidden="1" customHeight="1" x14ac:dyDescent="0.25">
      <c r="B971" s="16">
        <v>43339.083333333336</v>
      </c>
      <c r="C971" s="50" t="s">
        <v>928</v>
      </c>
      <c r="D971" s="34"/>
      <c r="E971" s="77">
        <v>8000000</v>
      </c>
      <c r="F971" s="18"/>
      <c r="G971" s="49">
        <f t="shared" si="162"/>
        <v>8000000</v>
      </c>
      <c r="H971" s="64"/>
      <c r="I971" s="64">
        <v>290620.2</v>
      </c>
      <c r="J971" s="18">
        <v>68470.080000000002</v>
      </c>
      <c r="K971" s="18">
        <f t="shared" si="160"/>
        <v>7640909.7199999997</v>
      </c>
      <c r="L971" s="19">
        <f t="shared" si="161"/>
        <v>40000000</v>
      </c>
      <c r="M971" s="20"/>
      <c r="N971" s="20"/>
      <c r="O971" s="81">
        <f>+L976-'[1]ANEXO 7 - PPTO VIG 2018'!T87</f>
        <v>0</v>
      </c>
      <c r="P971" s="55"/>
      <c r="Q971" s="55"/>
      <c r="R971" s="14"/>
      <c r="S971" s="14"/>
    </row>
    <row r="972" spans="2:19" ht="12.95" hidden="1" customHeight="1" x14ac:dyDescent="0.25">
      <c r="B972" s="16">
        <v>43371.083333333336</v>
      </c>
      <c r="C972" s="50" t="s">
        <v>929</v>
      </c>
      <c r="D972" s="34"/>
      <c r="E972" s="77">
        <v>8000000</v>
      </c>
      <c r="F972" s="18"/>
      <c r="G972" s="49">
        <f t="shared" si="162"/>
        <v>8000000</v>
      </c>
      <c r="H972" s="64"/>
      <c r="I972" s="37">
        <v>290620.2</v>
      </c>
      <c r="J972" s="18">
        <v>68470.080000000002</v>
      </c>
      <c r="K972" s="18">
        <f t="shared" si="160"/>
        <v>7640909.7199999997</v>
      </c>
      <c r="L972" s="19">
        <f t="shared" si="161"/>
        <v>32000000</v>
      </c>
      <c r="M972" s="20"/>
      <c r="N972" s="20"/>
      <c r="O972" s="81"/>
      <c r="P972" s="55"/>
      <c r="Q972" s="55"/>
      <c r="R972" s="14"/>
      <c r="S972" s="14"/>
    </row>
    <row r="973" spans="2:19" ht="12.75" hidden="1" customHeight="1" x14ac:dyDescent="0.25">
      <c r="B973" s="16">
        <v>43396.083333333336</v>
      </c>
      <c r="C973" s="50" t="s">
        <v>930</v>
      </c>
      <c r="D973" s="34"/>
      <c r="E973" s="77">
        <v>8000000</v>
      </c>
      <c r="F973" s="18"/>
      <c r="G973" s="49">
        <f t="shared" si="162"/>
        <v>8000000</v>
      </c>
      <c r="H973" s="64"/>
      <c r="I973" s="37">
        <v>295180.21000000002</v>
      </c>
      <c r="J973" s="18">
        <v>68470.080000000002</v>
      </c>
      <c r="K973" s="18">
        <f t="shared" si="160"/>
        <v>7636349.71</v>
      </c>
      <c r="L973" s="19">
        <f t="shared" si="161"/>
        <v>24000000</v>
      </c>
      <c r="M973" s="20"/>
      <c r="N973" s="20"/>
      <c r="O973" s="81"/>
      <c r="P973" s="55"/>
      <c r="Q973" s="55"/>
      <c r="R973" s="14"/>
      <c r="S973" s="14"/>
    </row>
    <row r="974" spans="2:19" ht="12.95" hidden="1" customHeight="1" x14ac:dyDescent="0.25">
      <c r="B974" s="16">
        <v>43425.125</v>
      </c>
      <c r="C974" s="50" t="s">
        <v>931</v>
      </c>
      <c r="D974" s="34"/>
      <c r="E974" s="77">
        <v>8000000</v>
      </c>
      <c r="F974" s="18"/>
      <c r="G974" s="49">
        <f t="shared" si="162"/>
        <v>8000000</v>
      </c>
      <c r="H974" s="64"/>
      <c r="I974" s="37">
        <v>290620.2</v>
      </c>
      <c r="J974" s="18">
        <v>68470.080000000002</v>
      </c>
      <c r="K974" s="18">
        <f t="shared" si="160"/>
        <v>7640909.7199999997</v>
      </c>
      <c r="L974" s="19">
        <f t="shared" si="161"/>
        <v>16000000</v>
      </c>
      <c r="M974" s="20"/>
      <c r="N974" s="20"/>
      <c r="O974" s="81"/>
      <c r="P974" s="55"/>
      <c r="Q974" s="55"/>
      <c r="R974" s="14"/>
      <c r="S974" s="14"/>
    </row>
    <row r="975" spans="2:19" ht="12.95" hidden="1" customHeight="1" x14ac:dyDescent="0.25">
      <c r="B975" s="16">
        <v>43454.125</v>
      </c>
      <c r="C975" s="50" t="s">
        <v>932</v>
      </c>
      <c r="D975" s="34"/>
      <c r="E975" s="77">
        <v>5333333</v>
      </c>
      <c r="F975" s="18"/>
      <c r="G975" s="49">
        <f t="shared" si="162"/>
        <v>5333333</v>
      </c>
      <c r="H975" s="64"/>
      <c r="I975" s="37">
        <v>0</v>
      </c>
      <c r="J975" s="18">
        <v>45646.720000000001</v>
      </c>
      <c r="K975" s="18">
        <f t="shared" si="160"/>
        <v>5287686.28</v>
      </c>
      <c r="L975" s="19">
        <f t="shared" si="161"/>
        <v>10666667</v>
      </c>
      <c r="M975" s="20"/>
      <c r="N975" s="20"/>
      <c r="O975" s="81"/>
      <c r="P975" s="55"/>
      <c r="Q975" s="55"/>
      <c r="R975" s="14"/>
      <c r="S975" s="14"/>
    </row>
    <row r="976" spans="2:19" ht="12.95" hidden="1" customHeight="1" x14ac:dyDescent="0.25">
      <c r="B976" s="16">
        <v>43454.125</v>
      </c>
      <c r="C976" s="50" t="s">
        <v>933</v>
      </c>
      <c r="D976" s="34"/>
      <c r="E976" s="77">
        <v>10666667</v>
      </c>
      <c r="F976" s="18"/>
      <c r="G976" s="49"/>
      <c r="H976" s="64"/>
      <c r="I976" s="37"/>
      <c r="J976" s="18"/>
      <c r="K976" s="18"/>
      <c r="L976" s="19">
        <f>+L975-E976</f>
        <v>0</v>
      </c>
      <c r="M976" s="20"/>
      <c r="N976" s="20"/>
      <c r="O976" s="81"/>
      <c r="P976" s="55"/>
      <c r="Q976" s="55"/>
      <c r="R976" s="14"/>
      <c r="S976" s="14"/>
    </row>
    <row r="977" spans="2:19" ht="12.95" hidden="1" customHeight="1" x14ac:dyDescent="0.25">
      <c r="B977" s="9" t="s">
        <v>934</v>
      </c>
      <c r="C977" s="10"/>
      <c r="D977" s="11">
        <v>113500000</v>
      </c>
      <c r="E977" s="11">
        <f>+D977</f>
        <v>113500000</v>
      </c>
      <c r="F977" s="11"/>
      <c r="G977" s="11"/>
      <c r="H977" s="11"/>
      <c r="I977" s="11"/>
      <c r="J977" s="11"/>
      <c r="K977" s="11"/>
      <c r="L977" s="11">
        <f>+D977</f>
        <v>113500000</v>
      </c>
      <c r="M977" s="12"/>
      <c r="N977" s="12"/>
      <c r="P977" s="55"/>
      <c r="Q977" s="55"/>
      <c r="R977" s="14"/>
      <c r="S977" s="14"/>
    </row>
    <row r="978" spans="2:19" ht="12.95" hidden="1" customHeight="1" x14ac:dyDescent="0.25">
      <c r="B978" s="16">
        <v>43159.125</v>
      </c>
      <c r="C978" s="36" t="s">
        <v>935</v>
      </c>
      <c r="D978" s="34"/>
      <c r="E978" s="37">
        <v>9000000</v>
      </c>
      <c r="F978" s="37"/>
      <c r="G978" s="37">
        <f t="shared" ref="G978:G991" si="163">+E978</f>
        <v>9000000</v>
      </c>
      <c r="H978" s="37"/>
      <c r="I978" s="37">
        <v>339544.73</v>
      </c>
      <c r="J978" s="37">
        <v>77028.84</v>
      </c>
      <c r="K978" s="18">
        <f t="shared" ref="K978:K992" si="164">+G978-H978-I978-J978</f>
        <v>8583426.4299999997</v>
      </c>
      <c r="L978" s="19">
        <f t="shared" ref="L978:L992" si="165">+L977-G978</f>
        <v>104500000</v>
      </c>
      <c r="M978" s="20"/>
      <c r="N978" s="20"/>
      <c r="P978" s="55"/>
      <c r="Q978" s="55"/>
      <c r="R978" s="14"/>
      <c r="S978" s="14"/>
    </row>
    <row r="979" spans="2:19" ht="12.95" hidden="1" customHeight="1" x14ac:dyDescent="0.25">
      <c r="B979" s="16">
        <v>43186.083333333336</v>
      </c>
      <c r="C979" s="36" t="s">
        <v>936</v>
      </c>
      <c r="D979" s="34"/>
      <c r="E979" s="37">
        <v>9000000</v>
      </c>
      <c r="F979" s="37"/>
      <c r="G979" s="37">
        <f t="shared" si="163"/>
        <v>9000000</v>
      </c>
      <c r="H979" s="37"/>
      <c r="I979" s="37">
        <v>339544.73</v>
      </c>
      <c r="J979" s="37">
        <v>77028.84</v>
      </c>
      <c r="K979" s="18">
        <f t="shared" si="164"/>
        <v>8583426.4299999997</v>
      </c>
      <c r="L979" s="19">
        <f t="shared" si="165"/>
        <v>95500000</v>
      </c>
      <c r="M979" s="20"/>
      <c r="N979" s="20"/>
      <c r="P979" s="55"/>
      <c r="Q979" s="55"/>
      <c r="R979" s="14"/>
      <c r="S979" s="14"/>
    </row>
    <row r="980" spans="2:19" ht="12.95" hidden="1" customHeight="1" x14ac:dyDescent="0.25">
      <c r="B980" s="16">
        <v>43222</v>
      </c>
      <c r="C980" s="36" t="s">
        <v>937</v>
      </c>
      <c r="D980" s="34"/>
      <c r="E980" s="37">
        <v>875585</v>
      </c>
      <c r="F980" s="37"/>
      <c r="G980" s="37">
        <f t="shared" si="163"/>
        <v>875585</v>
      </c>
      <c r="H980" s="37"/>
      <c r="I980" s="37">
        <v>339544.73</v>
      </c>
      <c r="J980" s="37">
        <v>77028.84</v>
      </c>
      <c r="K980" s="18">
        <f t="shared" si="164"/>
        <v>459011.43000000005</v>
      </c>
      <c r="L980" s="19">
        <f t="shared" si="165"/>
        <v>94624415</v>
      </c>
      <c r="M980" s="20"/>
      <c r="N980" s="20"/>
      <c r="P980" s="55"/>
      <c r="Q980" s="55"/>
      <c r="R980" s="14"/>
      <c r="S980" s="14"/>
    </row>
    <row r="981" spans="2:19" ht="12.95" hidden="1" customHeight="1" x14ac:dyDescent="0.25">
      <c r="B981" s="16">
        <v>43222</v>
      </c>
      <c r="C981" s="36" t="s">
        <v>938</v>
      </c>
      <c r="D981" s="34"/>
      <c r="E981" s="37">
        <v>9000000</v>
      </c>
      <c r="F981" s="37"/>
      <c r="G981" s="37">
        <f t="shared" si="163"/>
        <v>9000000</v>
      </c>
      <c r="H981" s="37"/>
      <c r="I981" s="37">
        <v>318867.95</v>
      </c>
      <c r="J981" s="37">
        <v>77028.84</v>
      </c>
      <c r="K981" s="18">
        <f t="shared" si="164"/>
        <v>8604103.2100000009</v>
      </c>
      <c r="L981" s="19">
        <f t="shared" si="165"/>
        <v>85624415</v>
      </c>
      <c r="M981" s="20"/>
      <c r="N981" s="20"/>
      <c r="P981" s="55"/>
      <c r="Q981" s="55"/>
      <c r="R981" s="14"/>
      <c r="S981" s="14"/>
    </row>
    <row r="982" spans="2:19" ht="12.75" hidden="1" customHeight="1" x14ac:dyDescent="0.25">
      <c r="B982" s="16">
        <v>43245.083333333336</v>
      </c>
      <c r="C982" s="36" t="s">
        <v>939</v>
      </c>
      <c r="D982" s="34"/>
      <c r="E982" s="37">
        <v>9000000</v>
      </c>
      <c r="F982" s="37"/>
      <c r="G982" s="37">
        <f t="shared" si="163"/>
        <v>9000000</v>
      </c>
      <c r="H982" s="37"/>
      <c r="I982" s="37">
        <v>318841.42</v>
      </c>
      <c r="J982" s="37">
        <v>77028.84</v>
      </c>
      <c r="K982" s="18">
        <f t="shared" si="164"/>
        <v>8604129.7400000002</v>
      </c>
      <c r="L982" s="19">
        <f t="shared" si="165"/>
        <v>76624415</v>
      </c>
      <c r="M982" s="20"/>
      <c r="N982" s="20"/>
      <c r="P982" s="55"/>
      <c r="Q982" s="55"/>
      <c r="R982" s="14"/>
      <c r="S982" s="14"/>
    </row>
    <row r="983" spans="2:19" ht="12.95" hidden="1" customHeight="1" x14ac:dyDescent="0.25">
      <c r="B983" s="16">
        <v>43280.083333333336</v>
      </c>
      <c r="C983" s="36" t="s">
        <v>940</v>
      </c>
      <c r="D983" s="34"/>
      <c r="E983" s="37">
        <v>9000000</v>
      </c>
      <c r="F983" s="37"/>
      <c r="G983" s="37">
        <f t="shared" si="163"/>
        <v>9000000</v>
      </c>
      <c r="H983" s="37"/>
      <c r="I983" s="37">
        <v>318841.42</v>
      </c>
      <c r="J983" s="37">
        <v>77028.84</v>
      </c>
      <c r="K983" s="18">
        <f t="shared" si="164"/>
        <v>8604129.7400000002</v>
      </c>
      <c r="L983" s="19">
        <f t="shared" si="165"/>
        <v>67624415</v>
      </c>
      <c r="M983" s="20"/>
      <c r="N983" s="20"/>
      <c r="P983" s="55"/>
      <c r="Q983" s="55"/>
      <c r="R983" s="14"/>
      <c r="S983" s="14"/>
    </row>
    <row r="984" spans="2:19" ht="12.95" hidden="1" customHeight="1" x14ac:dyDescent="0.25">
      <c r="B984" s="16">
        <v>43314.083333333336</v>
      </c>
      <c r="C984" s="36" t="s">
        <v>941</v>
      </c>
      <c r="D984" s="34"/>
      <c r="E984" s="37">
        <v>9000000</v>
      </c>
      <c r="F984" s="37"/>
      <c r="G984" s="37">
        <f t="shared" si="163"/>
        <v>9000000</v>
      </c>
      <c r="H984" s="37"/>
      <c r="I984" s="37">
        <v>318841.42</v>
      </c>
      <c r="J984" s="37">
        <v>77028.84</v>
      </c>
      <c r="K984" s="18">
        <f t="shared" si="164"/>
        <v>8604129.7400000002</v>
      </c>
      <c r="L984" s="19">
        <f t="shared" si="165"/>
        <v>58624415</v>
      </c>
      <c r="M984" s="20"/>
      <c r="N984" s="20"/>
      <c r="O984" s="81">
        <f>+L993-'[1]ANEXO 7 - PPTO VIG 2018'!T29</f>
        <v>0</v>
      </c>
      <c r="P984" s="55"/>
      <c r="Q984" s="55"/>
      <c r="R984" s="14"/>
      <c r="S984" s="14"/>
    </row>
    <row r="985" spans="2:19" ht="12.95" hidden="1" customHeight="1" x14ac:dyDescent="0.25">
      <c r="B985" s="16">
        <v>43353.083333333336</v>
      </c>
      <c r="C985" s="36" t="s">
        <v>942</v>
      </c>
      <c r="D985" s="34"/>
      <c r="E985" s="37">
        <v>9000000</v>
      </c>
      <c r="F985" s="37"/>
      <c r="G985" s="37">
        <f t="shared" si="163"/>
        <v>9000000</v>
      </c>
      <c r="H985" s="37"/>
      <c r="I985" s="37">
        <v>318841.42</v>
      </c>
      <c r="J985" s="37">
        <v>77028.84</v>
      </c>
      <c r="K985" s="18">
        <f t="shared" si="164"/>
        <v>8604129.7400000002</v>
      </c>
      <c r="L985" s="19">
        <f t="shared" si="165"/>
        <v>49624415</v>
      </c>
      <c r="M985" s="20"/>
      <c r="N985" s="20"/>
      <c r="O985" s="81"/>
      <c r="P985" s="55"/>
      <c r="Q985" s="55"/>
      <c r="R985" s="14"/>
      <c r="S985" s="14"/>
    </row>
    <row r="986" spans="2:19" ht="12.95" hidden="1" customHeight="1" x14ac:dyDescent="0.25">
      <c r="B986" s="16">
        <v>43395.083333333336</v>
      </c>
      <c r="C986" s="36" t="s">
        <v>943</v>
      </c>
      <c r="D986" s="34"/>
      <c r="E986" s="37">
        <v>9000000</v>
      </c>
      <c r="F986" s="37"/>
      <c r="G986" s="37">
        <f t="shared" si="163"/>
        <v>9000000</v>
      </c>
      <c r="H986" s="37"/>
      <c r="I986" s="37">
        <v>318841.42</v>
      </c>
      <c r="J986" s="37">
        <v>77028.84</v>
      </c>
      <c r="K986" s="18">
        <f t="shared" si="164"/>
        <v>8604129.7400000002</v>
      </c>
      <c r="L986" s="19">
        <f t="shared" si="165"/>
        <v>40624415</v>
      </c>
      <c r="M986" s="20"/>
      <c r="N986" s="20"/>
      <c r="O986" s="81"/>
      <c r="P986" s="55"/>
      <c r="Q986" s="55"/>
      <c r="R986" s="14"/>
      <c r="S986" s="14"/>
    </row>
    <row r="987" spans="2:19" ht="12.95" hidden="1" customHeight="1" x14ac:dyDescent="0.25">
      <c r="B987" s="16">
        <v>43396.083333333336</v>
      </c>
      <c r="C987" s="36" t="s">
        <v>944</v>
      </c>
      <c r="D987" s="34"/>
      <c r="E987" s="37">
        <v>988555</v>
      </c>
      <c r="F987" s="37"/>
      <c r="G987" s="37">
        <f t="shared" si="163"/>
        <v>988555</v>
      </c>
      <c r="H987" s="37"/>
      <c r="I987" s="37">
        <v>179584.3</v>
      </c>
      <c r="J987" s="37">
        <v>9549.44</v>
      </c>
      <c r="K987" s="18">
        <f t="shared" si="164"/>
        <v>799421.26</v>
      </c>
      <c r="L987" s="19">
        <f t="shared" si="165"/>
        <v>39635860</v>
      </c>
      <c r="M987" s="20"/>
      <c r="N987" s="20"/>
      <c r="O987" s="81"/>
      <c r="P987" s="55"/>
      <c r="Q987" s="55"/>
      <c r="R987" s="14"/>
      <c r="S987" s="14"/>
    </row>
    <row r="988" spans="2:19" ht="12.95" hidden="1" customHeight="1" x14ac:dyDescent="0.25">
      <c r="B988" s="16">
        <v>43426.125</v>
      </c>
      <c r="C988" s="36" t="s">
        <v>945</v>
      </c>
      <c r="D988" s="34"/>
      <c r="E988" s="37">
        <v>967185</v>
      </c>
      <c r="F988" s="37"/>
      <c r="G988" s="37">
        <f t="shared" si="163"/>
        <v>967185</v>
      </c>
      <c r="H988" s="37"/>
      <c r="I988" s="37"/>
      <c r="J988" s="37"/>
      <c r="K988" s="18">
        <f t="shared" si="164"/>
        <v>967185</v>
      </c>
      <c r="L988" s="19">
        <f t="shared" si="165"/>
        <v>38668675</v>
      </c>
      <c r="M988" s="20"/>
      <c r="N988" s="20"/>
      <c r="O988" s="81"/>
      <c r="P988" s="55"/>
      <c r="Q988" s="55"/>
      <c r="R988" s="14"/>
      <c r="S988" s="14"/>
    </row>
    <row r="989" spans="2:19" ht="12.95" hidden="1" customHeight="1" x14ac:dyDescent="0.25">
      <c r="B989" s="16">
        <v>43426.125</v>
      </c>
      <c r="C989" s="36" t="s">
        <v>946</v>
      </c>
      <c r="D989" s="34"/>
      <c r="E989" s="37">
        <v>9000000</v>
      </c>
      <c r="F989" s="37"/>
      <c r="G989" s="37">
        <f t="shared" si="163"/>
        <v>9000000</v>
      </c>
      <c r="H989" s="37"/>
      <c r="I989" s="37">
        <v>318867.95</v>
      </c>
      <c r="J989" s="37">
        <v>77028.84</v>
      </c>
      <c r="K989" s="18">
        <f t="shared" si="164"/>
        <v>8604103.2100000009</v>
      </c>
      <c r="L989" s="19">
        <f t="shared" si="165"/>
        <v>29668675</v>
      </c>
      <c r="M989" s="20"/>
      <c r="N989" s="20"/>
      <c r="O989" s="81"/>
      <c r="P989" s="55"/>
      <c r="Q989" s="55"/>
      <c r="R989" s="14"/>
      <c r="S989" s="14"/>
    </row>
    <row r="990" spans="2:19" ht="12.95" hidden="1" customHeight="1" x14ac:dyDescent="0.25">
      <c r="B990" s="16">
        <v>43467.125</v>
      </c>
      <c r="C990" s="36" t="s">
        <v>947</v>
      </c>
      <c r="D990" s="34"/>
      <c r="E990" s="37">
        <v>9000000</v>
      </c>
      <c r="F990" s="37"/>
      <c r="G990" s="37">
        <f t="shared" si="163"/>
        <v>9000000</v>
      </c>
      <c r="H990" s="37"/>
      <c r="I990" s="37">
        <v>318867.95</v>
      </c>
      <c r="J990" s="37">
        <v>77028.84</v>
      </c>
      <c r="K990" s="18">
        <f t="shared" si="164"/>
        <v>8604103.2100000009</v>
      </c>
      <c r="L990" s="19">
        <f t="shared" si="165"/>
        <v>20668675</v>
      </c>
      <c r="M990" s="20"/>
      <c r="N990" s="20"/>
      <c r="O990" s="81"/>
      <c r="P990" s="55"/>
      <c r="Q990" s="55"/>
      <c r="R990" s="14"/>
      <c r="S990" s="14"/>
    </row>
    <row r="991" spans="2:19" ht="12.75" hidden="1" customHeight="1" x14ac:dyDescent="0.25">
      <c r="B991" s="16">
        <v>43504.125</v>
      </c>
      <c r="C991" s="36" t="s">
        <v>948</v>
      </c>
      <c r="D991" s="34"/>
      <c r="E991" s="37">
        <v>9000000</v>
      </c>
      <c r="F991" s="37"/>
      <c r="G991" s="37">
        <f t="shared" si="163"/>
        <v>9000000</v>
      </c>
      <c r="H991" s="37"/>
      <c r="I991" s="37">
        <v>298760.24</v>
      </c>
      <c r="J991" s="37">
        <v>77028.84</v>
      </c>
      <c r="K991" s="18">
        <f t="shared" si="164"/>
        <v>8624210.9199999999</v>
      </c>
      <c r="L991" s="19">
        <f t="shared" si="165"/>
        <v>11668675</v>
      </c>
      <c r="M991" s="20"/>
      <c r="N991" s="20"/>
      <c r="O991" s="81"/>
      <c r="P991" s="55"/>
      <c r="Q991" s="55"/>
      <c r="R991" s="14"/>
      <c r="S991" s="14"/>
    </row>
    <row r="992" spans="2:19" ht="12.75" hidden="1" customHeight="1" x14ac:dyDescent="0.25">
      <c r="B992" s="16">
        <v>43553.083333333336</v>
      </c>
      <c r="C992" s="36" t="s">
        <v>949</v>
      </c>
      <c r="D992" s="34"/>
      <c r="E992" s="37">
        <v>9000000</v>
      </c>
      <c r="F992" s="37"/>
      <c r="G992" s="37">
        <v>4500000</v>
      </c>
      <c r="H992" s="37"/>
      <c r="I992" s="37"/>
      <c r="J992" s="37">
        <v>38514.42</v>
      </c>
      <c r="K992" s="18">
        <f t="shared" si="164"/>
        <v>4461485.58</v>
      </c>
      <c r="L992" s="19">
        <f t="shared" si="165"/>
        <v>7168675</v>
      </c>
      <c r="M992" s="20"/>
      <c r="N992" s="20"/>
      <c r="O992" s="81"/>
      <c r="P992" s="55"/>
      <c r="Q992" s="55"/>
      <c r="R992" s="14"/>
      <c r="S992" s="14"/>
    </row>
    <row r="993" spans="2:19" ht="12.95" hidden="1" customHeight="1" x14ac:dyDescent="0.25">
      <c r="B993" s="16">
        <v>43553.083333333336</v>
      </c>
      <c r="C993" s="36" t="s">
        <v>24</v>
      </c>
      <c r="D993" s="34"/>
      <c r="E993" s="37">
        <v>7168675</v>
      </c>
      <c r="F993" s="37"/>
      <c r="G993" s="37"/>
      <c r="H993" s="37"/>
      <c r="I993" s="37"/>
      <c r="J993" s="37"/>
      <c r="K993" s="18"/>
      <c r="L993" s="19">
        <f>+L992-E993</f>
        <v>0</v>
      </c>
      <c r="M993" s="20"/>
      <c r="N993" s="20"/>
      <c r="O993" s="81"/>
      <c r="P993" s="55"/>
      <c r="Q993" s="55"/>
      <c r="R993" s="14"/>
      <c r="S993" s="14"/>
    </row>
    <row r="994" spans="2:19" ht="12.95" hidden="1" customHeight="1" x14ac:dyDescent="0.25">
      <c r="B994" s="9" t="s">
        <v>950</v>
      </c>
      <c r="C994" s="10"/>
      <c r="D994" s="11">
        <f>60000000+27000000</f>
        <v>87000000</v>
      </c>
      <c r="E994" s="11">
        <f>+D994</f>
        <v>87000000</v>
      </c>
      <c r="F994" s="11"/>
      <c r="G994" s="11"/>
      <c r="H994" s="11"/>
      <c r="I994" s="11"/>
      <c r="J994" s="11"/>
      <c r="K994" s="11"/>
      <c r="L994" s="11">
        <f>+D994</f>
        <v>87000000</v>
      </c>
      <c r="M994" s="12"/>
      <c r="N994" s="12"/>
      <c r="P994" s="55"/>
      <c r="Q994" s="55"/>
      <c r="R994" s="14"/>
      <c r="S994" s="14"/>
    </row>
    <row r="995" spans="2:19" ht="12.95" hidden="1" customHeight="1" x14ac:dyDescent="0.25">
      <c r="B995" s="16">
        <v>43157.125</v>
      </c>
      <c r="C995" s="50" t="s">
        <v>951</v>
      </c>
      <c r="D995" s="34"/>
      <c r="E995" s="77">
        <v>5000000</v>
      </c>
      <c r="F995" s="18"/>
      <c r="G995" s="49">
        <f t="shared" ref="G995:G1006" si="166">+E995</f>
        <v>5000000</v>
      </c>
      <c r="H995" s="64"/>
      <c r="I995" s="64">
        <v>31312.959999999999</v>
      </c>
      <c r="J995" s="64">
        <v>42793.8</v>
      </c>
      <c r="K995" s="18">
        <f t="shared" ref="K995:K1007" si="167">+G995-H995-I995-J995</f>
        <v>4925893.24</v>
      </c>
      <c r="L995" s="19">
        <f t="shared" ref="L995:L1006" si="168">+L994-G995</f>
        <v>82000000</v>
      </c>
      <c r="M995" s="20"/>
      <c r="N995" s="20"/>
      <c r="P995" s="55"/>
      <c r="Q995" s="55"/>
      <c r="R995" s="14"/>
      <c r="S995" s="14"/>
    </row>
    <row r="996" spans="2:19" ht="12.95" hidden="1" customHeight="1" x14ac:dyDescent="0.25">
      <c r="B996" s="16">
        <v>43179.083333333336</v>
      </c>
      <c r="C996" s="50" t="s">
        <v>952</v>
      </c>
      <c r="D996" s="34"/>
      <c r="E996" s="77">
        <v>5000000</v>
      </c>
      <c r="F996" s="18"/>
      <c r="G996" s="49">
        <f t="shared" si="166"/>
        <v>5000000</v>
      </c>
      <c r="H996" s="64"/>
      <c r="I996" s="64">
        <v>31312.959999999999</v>
      </c>
      <c r="J996" s="64">
        <v>42793.8</v>
      </c>
      <c r="K996" s="18">
        <f t="shared" si="167"/>
        <v>4925893.24</v>
      </c>
      <c r="L996" s="19">
        <f t="shared" si="168"/>
        <v>77000000</v>
      </c>
      <c r="M996" s="20"/>
      <c r="N996" s="20"/>
      <c r="P996" s="55"/>
      <c r="Q996" s="55"/>
      <c r="R996" s="14"/>
      <c r="S996" s="14"/>
    </row>
    <row r="997" spans="2:19" ht="12.95" hidden="1" customHeight="1" x14ac:dyDescent="0.25">
      <c r="B997" s="16">
        <v>43210.083333333336</v>
      </c>
      <c r="C997" s="50" t="s">
        <v>953</v>
      </c>
      <c r="D997" s="34"/>
      <c r="E997" s="77">
        <v>5000000</v>
      </c>
      <c r="F997" s="18"/>
      <c r="G997" s="49">
        <f t="shared" si="166"/>
        <v>5000000</v>
      </c>
      <c r="H997" s="64"/>
      <c r="I997" s="64">
        <v>31312.959999999999</v>
      </c>
      <c r="J997" s="64">
        <v>42793.8</v>
      </c>
      <c r="K997" s="18">
        <f t="shared" si="167"/>
        <v>4925893.24</v>
      </c>
      <c r="L997" s="19">
        <f t="shared" si="168"/>
        <v>72000000</v>
      </c>
      <c r="M997" s="20"/>
      <c r="N997" s="20"/>
      <c r="P997" s="55"/>
      <c r="Q997" s="55"/>
      <c r="R997" s="14"/>
      <c r="S997" s="14"/>
    </row>
    <row r="998" spans="2:19" ht="12.95" hidden="1" customHeight="1" x14ac:dyDescent="0.25">
      <c r="B998" s="16">
        <v>43238.083333333336</v>
      </c>
      <c r="C998" s="50" t="s">
        <v>954</v>
      </c>
      <c r="D998" s="34"/>
      <c r="E998" s="77">
        <v>6300000</v>
      </c>
      <c r="F998" s="18"/>
      <c r="G998" s="49">
        <f t="shared" si="166"/>
        <v>6300000</v>
      </c>
      <c r="H998" s="64"/>
      <c r="I998" s="64">
        <v>194988.45</v>
      </c>
      <c r="J998" s="64">
        <v>53920.19</v>
      </c>
      <c r="K998" s="18">
        <f t="shared" si="167"/>
        <v>6051091.3599999994</v>
      </c>
      <c r="L998" s="19">
        <f t="shared" si="168"/>
        <v>65700000</v>
      </c>
      <c r="M998" s="20"/>
      <c r="N998" s="20"/>
      <c r="P998" s="55"/>
      <c r="Q998" s="55"/>
      <c r="R998" s="14"/>
      <c r="S998" s="14"/>
    </row>
    <row r="999" spans="2:19" ht="12.75" hidden="1" customHeight="1" x14ac:dyDescent="0.25">
      <c r="B999" s="16">
        <v>43270.083333333336</v>
      </c>
      <c r="C999" s="50" t="s">
        <v>955</v>
      </c>
      <c r="D999" s="34"/>
      <c r="E999" s="77">
        <v>8000000</v>
      </c>
      <c r="F999" s="18"/>
      <c r="G999" s="49">
        <f t="shared" si="166"/>
        <v>8000000</v>
      </c>
      <c r="H999" s="64"/>
      <c r="I999" s="64">
        <v>417240.01</v>
      </c>
      <c r="J999" s="64">
        <v>68470.080000000002</v>
      </c>
      <c r="K999" s="18">
        <f t="shared" si="167"/>
        <v>7514289.9100000001</v>
      </c>
      <c r="L999" s="19">
        <f t="shared" si="168"/>
        <v>57700000</v>
      </c>
      <c r="M999" s="20"/>
      <c r="N999" s="20"/>
      <c r="P999" s="55"/>
      <c r="Q999" s="55"/>
      <c r="R999" s="14"/>
      <c r="S999" s="14"/>
    </row>
    <row r="1000" spans="2:19" ht="12.95" hidden="1" customHeight="1" x14ac:dyDescent="0.25">
      <c r="B1000" s="16">
        <v>43294.083333333336</v>
      </c>
      <c r="C1000" s="50" t="s">
        <v>956</v>
      </c>
      <c r="D1000" s="34"/>
      <c r="E1000" s="77">
        <v>8000000</v>
      </c>
      <c r="F1000" s="18"/>
      <c r="G1000" s="49">
        <f t="shared" si="166"/>
        <v>8000000</v>
      </c>
      <c r="H1000" s="64"/>
      <c r="I1000" s="64">
        <v>417240.01</v>
      </c>
      <c r="J1000" s="64">
        <v>68470.080000000002</v>
      </c>
      <c r="K1000" s="18">
        <f t="shared" si="167"/>
        <v>7514289.9100000001</v>
      </c>
      <c r="L1000" s="19">
        <f t="shared" si="168"/>
        <v>49700000</v>
      </c>
      <c r="M1000" s="20"/>
      <c r="N1000" s="20"/>
      <c r="P1000" s="55"/>
      <c r="Q1000" s="55"/>
      <c r="R1000" s="14"/>
      <c r="S1000" s="14"/>
    </row>
    <row r="1001" spans="2:19" ht="12.95" hidden="1" customHeight="1" x14ac:dyDescent="0.25">
      <c r="B1001" s="16">
        <v>43339.083333333336</v>
      </c>
      <c r="C1001" s="50" t="s">
        <v>957</v>
      </c>
      <c r="D1001" s="34"/>
      <c r="E1001" s="77">
        <v>8000000</v>
      </c>
      <c r="F1001" s="18"/>
      <c r="G1001" s="49">
        <f t="shared" si="166"/>
        <v>8000000</v>
      </c>
      <c r="H1001" s="64"/>
      <c r="I1001" s="64">
        <v>417240.01</v>
      </c>
      <c r="J1001" s="64">
        <v>68470.080000000002</v>
      </c>
      <c r="K1001" s="18">
        <f t="shared" si="167"/>
        <v>7514289.9100000001</v>
      </c>
      <c r="L1001" s="19">
        <f t="shared" si="168"/>
        <v>41700000</v>
      </c>
      <c r="M1001" s="20"/>
      <c r="N1001" s="20"/>
      <c r="O1001" s="81">
        <f>+L1007-'[1]ANEXO 7 - PPTO VIG 2018'!T88</f>
        <v>0</v>
      </c>
      <c r="P1001" s="55"/>
      <c r="Q1001" s="55"/>
      <c r="R1001" s="14"/>
      <c r="S1001" s="14"/>
    </row>
    <row r="1002" spans="2:19" ht="12.95" hidden="1" customHeight="1" x14ac:dyDescent="0.25">
      <c r="B1002" s="16">
        <v>43356.083333333336</v>
      </c>
      <c r="C1002" s="50" t="s">
        <v>958</v>
      </c>
      <c r="D1002" s="34"/>
      <c r="E1002" s="77">
        <v>8000000</v>
      </c>
      <c r="F1002" s="18"/>
      <c r="G1002" s="49">
        <f t="shared" si="166"/>
        <v>8000000</v>
      </c>
      <c r="H1002" s="64"/>
      <c r="I1002" s="37">
        <v>417240.01</v>
      </c>
      <c r="J1002" s="64">
        <v>68470.080000000002</v>
      </c>
      <c r="K1002" s="18">
        <f t="shared" si="167"/>
        <v>7514289.9100000001</v>
      </c>
      <c r="L1002" s="19">
        <f t="shared" si="168"/>
        <v>33700000</v>
      </c>
      <c r="M1002" s="20"/>
      <c r="N1002" s="20"/>
      <c r="O1002" s="81"/>
      <c r="P1002" s="55"/>
      <c r="Q1002" s="55"/>
      <c r="R1002" s="14"/>
      <c r="S1002" s="14"/>
    </row>
    <row r="1003" spans="2:19" ht="12.95" hidden="1" customHeight="1" x14ac:dyDescent="0.25">
      <c r="B1003" s="16">
        <v>43389.083333333336</v>
      </c>
      <c r="C1003" s="50" t="s">
        <v>959</v>
      </c>
      <c r="D1003" s="34"/>
      <c r="E1003" s="77">
        <v>8000000</v>
      </c>
      <c r="F1003" s="18"/>
      <c r="G1003" s="49">
        <f t="shared" si="166"/>
        <v>8000000</v>
      </c>
      <c r="H1003" s="64"/>
      <c r="I1003" s="37">
        <v>417240.01</v>
      </c>
      <c r="J1003" s="64">
        <v>68470.080000000002</v>
      </c>
      <c r="K1003" s="18">
        <f t="shared" si="167"/>
        <v>7514289.9100000001</v>
      </c>
      <c r="L1003" s="19">
        <f t="shared" si="168"/>
        <v>25700000</v>
      </c>
      <c r="M1003" s="20"/>
      <c r="N1003" s="20"/>
      <c r="O1003" s="81"/>
      <c r="P1003" s="55"/>
      <c r="Q1003" s="55"/>
      <c r="R1003" s="14"/>
      <c r="S1003" s="14"/>
    </row>
    <row r="1004" spans="2:19" ht="12.75" hidden="1" customHeight="1" x14ac:dyDescent="0.25">
      <c r="B1004" s="16">
        <v>43417.125</v>
      </c>
      <c r="C1004" s="50" t="s">
        <v>960</v>
      </c>
      <c r="D1004" s="34"/>
      <c r="E1004" s="77">
        <v>8000000</v>
      </c>
      <c r="F1004" s="18"/>
      <c r="G1004" s="49">
        <f t="shared" si="166"/>
        <v>8000000</v>
      </c>
      <c r="H1004" s="64"/>
      <c r="I1004" s="37">
        <v>417240.01</v>
      </c>
      <c r="J1004" s="64">
        <v>68470.080000000002</v>
      </c>
      <c r="K1004" s="18">
        <f t="shared" si="167"/>
        <v>7514289.9100000001</v>
      </c>
      <c r="L1004" s="19">
        <f t="shared" si="168"/>
        <v>17700000</v>
      </c>
      <c r="M1004" s="20"/>
      <c r="N1004" s="20"/>
      <c r="O1004" s="81"/>
      <c r="P1004" s="55"/>
      <c r="Q1004" s="55"/>
      <c r="R1004" s="14"/>
      <c r="S1004" s="14"/>
    </row>
    <row r="1005" spans="2:19" ht="12.75" hidden="1" customHeight="1" x14ac:dyDescent="0.25">
      <c r="B1005" s="16">
        <v>43453.125</v>
      </c>
      <c r="C1005" s="50" t="s">
        <v>961</v>
      </c>
      <c r="D1005" s="34"/>
      <c r="E1005" s="77">
        <v>8000000</v>
      </c>
      <c r="F1005" s="18"/>
      <c r="G1005" s="49">
        <f t="shared" si="166"/>
        <v>8000000</v>
      </c>
      <c r="H1005" s="64"/>
      <c r="I1005" s="37">
        <v>417240.01</v>
      </c>
      <c r="J1005" s="64">
        <v>68470.080000000002</v>
      </c>
      <c r="K1005" s="18">
        <f t="shared" si="167"/>
        <v>7514289.9100000001</v>
      </c>
      <c r="L1005" s="19">
        <f t="shared" si="168"/>
        <v>9700000</v>
      </c>
      <c r="M1005" s="20"/>
      <c r="N1005" s="20"/>
      <c r="O1005" s="81"/>
      <c r="P1005" s="55"/>
      <c r="Q1005" s="55"/>
      <c r="R1005" s="14"/>
      <c r="S1005" s="14"/>
    </row>
    <row r="1006" spans="2:19" ht="12.75" hidden="1" customHeight="1" x14ac:dyDescent="0.25">
      <c r="B1006" s="16">
        <v>43481.125</v>
      </c>
      <c r="C1006" s="50" t="s">
        <v>962</v>
      </c>
      <c r="D1006" s="34"/>
      <c r="E1006" s="77">
        <v>7733333</v>
      </c>
      <c r="F1006" s="18"/>
      <c r="G1006" s="49">
        <f t="shared" si="166"/>
        <v>7733333</v>
      </c>
      <c r="H1006" s="64"/>
      <c r="I1006" s="37">
        <v>350996.46</v>
      </c>
      <c r="J1006" s="64">
        <v>66187.740000000005</v>
      </c>
      <c r="K1006" s="18">
        <f t="shared" si="167"/>
        <v>7316148.7999999998</v>
      </c>
      <c r="L1006" s="19">
        <f t="shared" si="168"/>
        <v>1966667</v>
      </c>
      <c r="M1006" s="20"/>
      <c r="N1006" s="20"/>
      <c r="O1006" s="81"/>
      <c r="P1006" s="55"/>
      <c r="Q1006" s="55"/>
      <c r="R1006" s="14"/>
      <c r="S1006" s="14"/>
    </row>
    <row r="1007" spans="2:19" ht="12.95" hidden="1" customHeight="1" x14ac:dyDescent="0.25">
      <c r="B1007" s="16">
        <v>43481.125</v>
      </c>
      <c r="C1007" s="36" t="s">
        <v>24</v>
      </c>
      <c r="D1007" s="34"/>
      <c r="E1007" s="37">
        <v>1966667</v>
      </c>
      <c r="F1007" s="37">
        <v>0</v>
      </c>
      <c r="G1007" s="37"/>
      <c r="H1007" s="37">
        <v>0</v>
      </c>
      <c r="I1007" s="37">
        <v>0</v>
      </c>
      <c r="J1007" s="37">
        <v>0</v>
      </c>
      <c r="K1007" s="18">
        <f t="shared" si="167"/>
        <v>0</v>
      </c>
      <c r="L1007" s="19">
        <f>+L1006-E1007</f>
        <v>0</v>
      </c>
      <c r="M1007" s="20"/>
      <c r="N1007" s="20"/>
      <c r="P1007" s="55"/>
      <c r="Q1007" s="55"/>
      <c r="R1007" s="14"/>
      <c r="S1007" s="14"/>
    </row>
    <row r="1008" spans="2:19" ht="12.95" hidden="1" customHeight="1" x14ac:dyDescent="0.25">
      <c r="B1008" s="9" t="s">
        <v>963</v>
      </c>
      <c r="C1008" s="10"/>
      <c r="D1008" s="11">
        <v>195480000</v>
      </c>
      <c r="E1008" s="11">
        <f>+D1008</f>
        <v>195480000</v>
      </c>
      <c r="F1008" s="11"/>
      <c r="G1008" s="11"/>
      <c r="H1008" s="11"/>
      <c r="I1008" s="11"/>
      <c r="J1008" s="11"/>
      <c r="K1008" s="11"/>
      <c r="L1008" s="11">
        <f>+D1008</f>
        <v>195480000</v>
      </c>
      <c r="M1008" s="12"/>
      <c r="N1008" s="12"/>
      <c r="P1008" s="55"/>
      <c r="Q1008" s="55"/>
      <c r="R1008" s="14"/>
      <c r="S1008" s="14"/>
    </row>
    <row r="1009" spans="2:19" ht="12.95" hidden="1" customHeight="1" x14ac:dyDescent="0.25">
      <c r="B1009" s="16">
        <v>43150.125</v>
      </c>
      <c r="C1009" s="50" t="s">
        <v>964</v>
      </c>
      <c r="D1009" s="34"/>
      <c r="E1009" s="77">
        <v>13520000</v>
      </c>
      <c r="F1009" s="18"/>
      <c r="G1009" s="49">
        <f t="shared" ref="G1009:G1028" si="169">+E1009</f>
        <v>13520000</v>
      </c>
      <c r="H1009" s="64">
        <v>323798.25</v>
      </c>
      <c r="I1009" s="64">
        <v>825954.52</v>
      </c>
      <c r="J1009" s="64">
        <v>97239.03</v>
      </c>
      <c r="K1009" s="18">
        <f t="shared" ref="K1009:K1028" si="170">+G1009-H1009-I1009-J1009</f>
        <v>12273008.200000001</v>
      </c>
      <c r="L1009" s="19">
        <f>+L1008-G1009</f>
        <v>181960000</v>
      </c>
      <c r="M1009" s="20"/>
      <c r="N1009" s="20"/>
      <c r="P1009" s="55"/>
      <c r="Q1009" s="55"/>
      <c r="R1009" s="14"/>
      <c r="S1009" s="14"/>
    </row>
    <row r="1010" spans="2:19" ht="12.95" hidden="1" customHeight="1" x14ac:dyDescent="0.25">
      <c r="B1010" s="16">
        <v>43159.125</v>
      </c>
      <c r="C1010" s="50" t="s">
        <v>965</v>
      </c>
      <c r="D1010" s="34"/>
      <c r="E1010" s="77">
        <v>2773090</v>
      </c>
      <c r="F1010" s="18"/>
      <c r="G1010" s="49">
        <f t="shared" si="169"/>
        <v>2773090</v>
      </c>
      <c r="H1010" s="64">
        <v>0</v>
      </c>
      <c r="I1010" s="64">
        <v>0</v>
      </c>
      <c r="J1010" s="64">
        <v>0</v>
      </c>
      <c r="K1010" s="18">
        <f t="shared" si="170"/>
        <v>2773090</v>
      </c>
      <c r="L1010" s="19">
        <f>+L1009-G1010</f>
        <v>179186910</v>
      </c>
      <c r="M1010" s="20"/>
      <c r="N1010" s="20"/>
      <c r="P1010" s="55"/>
      <c r="Q1010" s="55"/>
      <c r="R1010" s="14"/>
      <c r="S1010" s="14"/>
    </row>
    <row r="1011" spans="2:19" ht="12.95" hidden="1" customHeight="1" x14ac:dyDescent="0.25">
      <c r="B1011" s="16">
        <v>43185.083333333336</v>
      </c>
      <c r="C1011" s="50" t="s">
        <v>966</v>
      </c>
      <c r="D1011" s="34"/>
      <c r="E1011" s="77">
        <v>1234796</v>
      </c>
      <c r="F1011" s="18"/>
      <c r="G1011" s="49">
        <f t="shared" si="169"/>
        <v>1234796</v>
      </c>
      <c r="H1011" s="64">
        <v>0</v>
      </c>
      <c r="I1011" s="64">
        <v>0</v>
      </c>
      <c r="J1011" s="64">
        <v>0</v>
      </c>
      <c r="K1011" s="18">
        <f t="shared" si="170"/>
        <v>1234796</v>
      </c>
      <c r="L1011" s="19">
        <f>+L1010-G1011</f>
        <v>177952114</v>
      </c>
      <c r="M1011" s="20"/>
      <c r="N1011" s="20"/>
      <c r="P1011" s="55"/>
      <c r="Q1011" s="55"/>
      <c r="R1011" s="14"/>
      <c r="S1011" s="14"/>
    </row>
    <row r="1012" spans="2:19" ht="12.95" hidden="1" customHeight="1" x14ac:dyDescent="0.25">
      <c r="B1012" s="16">
        <v>43199.083333333336</v>
      </c>
      <c r="C1012" s="50" t="s">
        <v>967</v>
      </c>
      <c r="D1012" s="34"/>
      <c r="E1012" s="77">
        <v>13520000</v>
      </c>
      <c r="F1012" s="18"/>
      <c r="G1012" s="49">
        <f t="shared" si="169"/>
        <v>13520000</v>
      </c>
      <c r="H1012" s="64">
        <v>323798.25</v>
      </c>
      <c r="I1012" s="64">
        <v>825093.53</v>
      </c>
      <c r="J1012" s="64">
        <v>97239.03</v>
      </c>
      <c r="K1012" s="18">
        <f t="shared" si="170"/>
        <v>12273869.190000001</v>
      </c>
      <c r="L1012" s="19">
        <f>+L1011-G1012</f>
        <v>164432114</v>
      </c>
      <c r="M1012" s="20"/>
      <c r="N1012" s="20"/>
      <c r="P1012" s="55"/>
      <c r="Q1012" s="55"/>
      <c r="R1012" s="14"/>
      <c r="S1012" s="14"/>
    </row>
    <row r="1013" spans="2:19" ht="12.95" hidden="1" customHeight="1" x14ac:dyDescent="0.25">
      <c r="B1013" s="16">
        <v>43213.083333333336</v>
      </c>
      <c r="C1013" s="50" t="s">
        <v>968</v>
      </c>
      <c r="D1013" s="34"/>
      <c r="E1013" s="77">
        <v>13520000</v>
      </c>
      <c r="F1013" s="18"/>
      <c r="G1013" s="49">
        <f t="shared" si="169"/>
        <v>13520000</v>
      </c>
      <c r="H1013" s="64">
        <v>323798.25</v>
      </c>
      <c r="I1013" s="64">
        <v>825093.53</v>
      </c>
      <c r="J1013" s="64">
        <v>97239.03</v>
      </c>
      <c r="K1013" s="18">
        <f t="shared" si="170"/>
        <v>12273869.190000001</v>
      </c>
      <c r="L1013" s="19">
        <f>+L1012-G1013</f>
        <v>150912114</v>
      </c>
      <c r="M1013" s="20"/>
      <c r="N1013" s="20"/>
      <c r="P1013" s="55"/>
      <c r="Q1013" s="55"/>
      <c r="R1013" s="14"/>
      <c r="S1013" s="14"/>
    </row>
    <row r="1014" spans="2:19" ht="12.95" hidden="1" customHeight="1" x14ac:dyDescent="0.25">
      <c r="B1014" s="16">
        <v>43213.083333333336</v>
      </c>
      <c r="C1014" s="50" t="s">
        <v>969</v>
      </c>
      <c r="D1014" s="34"/>
      <c r="E1014" s="77">
        <v>1185630</v>
      </c>
      <c r="F1014" s="18"/>
      <c r="G1014" s="49">
        <f t="shared" si="169"/>
        <v>1185630</v>
      </c>
      <c r="H1014" s="64">
        <v>0</v>
      </c>
      <c r="I1014" s="64">
        <v>0</v>
      </c>
      <c r="J1014" s="64">
        <v>0</v>
      </c>
      <c r="K1014" s="18">
        <f t="shared" si="170"/>
        <v>1185630</v>
      </c>
      <c r="L1014" s="19">
        <f t="shared" ref="L1014:L1028" si="171">+L1013-G1014</f>
        <v>149726484</v>
      </c>
      <c r="M1014" s="20"/>
      <c r="N1014" s="20"/>
      <c r="P1014" s="55"/>
      <c r="Q1014" s="55"/>
      <c r="R1014" s="14"/>
      <c r="S1014" s="14"/>
    </row>
    <row r="1015" spans="2:19" ht="12.95" hidden="1" customHeight="1" x14ac:dyDescent="0.25">
      <c r="B1015" s="16">
        <v>43243.083333333336</v>
      </c>
      <c r="C1015" s="50" t="s">
        <v>970</v>
      </c>
      <c r="D1015" s="34"/>
      <c r="E1015" s="77">
        <v>13520000</v>
      </c>
      <c r="F1015" s="18"/>
      <c r="G1015" s="49">
        <f t="shared" si="169"/>
        <v>13520000</v>
      </c>
      <c r="H1015" s="64">
        <v>323798.25</v>
      </c>
      <c r="I1015" s="64">
        <v>825093.53</v>
      </c>
      <c r="J1015" s="64">
        <v>97239.03</v>
      </c>
      <c r="K1015" s="18">
        <f t="shared" si="170"/>
        <v>12273869.190000001</v>
      </c>
      <c r="L1015" s="19">
        <f t="shared" si="171"/>
        <v>136206484</v>
      </c>
      <c r="M1015" s="20"/>
      <c r="N1015" s="20"/>
      <c r="O1015" s="81"/>
      <c r="P1015" s="55"/>
      <c r="Q1015" s="55"/>
      <c r="R1015" s="14"/>
      <c r="S1015" s="14"/>
    </row>
    <row r="1016" spans="2:19" ht="12.95" hidden="1" customHeight="1" x14ac:dyDescent="0.25">
      <c r="B1016" s="16">
        <v>43243.083333333336</v>
      </c>
      <c r="C1016" s="50" t="s">
        <v>971</v>
      </c>
      <c r="D1016" s="34"/>
      <c r="E1016" s="77">
        <v>7154507</v>
      </c>
      <c r="F1016" s="18"/>
      <c r="G1016" s="49">
        <f t="shared" si="169"/>
        <v>7154507</v>
      </c>
      <c r="H1016" s="64"/>
      <c r="I1016" s="64"/>
      <c r="J1016" s="64"/>
      <c r="K1016" s="18">
        <f t="shared" si="170"/>
        <v>7154507</v>
      </c>
      <c r="L1016" s="19">
        <f t="shared" si="171"/>
        <v>129051977</v>
      </c>
      <c r="M1016" s="20"/>
      <c r="N1016" s="20"/>
      <c r="O1016" s="81"/>
      <c r="P1016" s="55"/>
      <c r="Q1016" s="55"/>
      <c r="R1016" s="14"/>
      <c r="S1016" s="14"/>
    </row>
    <row r="1017" spans="2:19" ht="12.75" hidden="1" customHeight="1" x14ac:dyDescent="0.25">
      <c r="B1017" s="16">
        <v>43272.083333333336</v>
      </c>
      <c r="C1017" s="50" t="s">
        <v>972</v>
      </c>
      <c r="D1017" s="34"/>
      <c r="E1017" s="77">
        <v>2700593</v>
      </c>
      <c r="F1017" s="18"/>
      <c r="G1017" s="49">
        <f t="shared" si="169"/>
        <v>2700593</v>
      </c>
      <c r="H1017" s="64">
        <v>0</v>
      </c>
      <c r="I1017" s="64">
        <v>0</v>
      </c>
      <c r="J1017" s="64">
        <v>0</v>
      </c>
      <c r="K1017" s="18">
        <f t="shared" si="170"/>
        <v>2700593</v>
      </c>
      <c r="L1017" s="19">
        <f t="shared" si="171"/>
        <v>126351384</v>
      </c>
      <c r="M1017" s="20"/>
      <c r="N1017" s="20"/>
      <c r="P1017" s="55"/>
      <c r="Q1017" s="55"/>
      <c r="R1017" s="14"/>
      <c r="S1017" s="14"/>
    </row>
    <row r="1018" spans="2:19" ht="12.95" hidden="1" customHeight="1" x14ac:dyDescent="0.25">
      <c r="B1018" s="16">
        <v>43273.083333333336</v>
      </c>
      <c r="C1018" s="50" t="s">
        <v>973</v>
      </c>
      <c r="D1018" s="34"/>
      <c r="E1018" s="77">
        <v>13520000</v>
      </c>
      <c r="F1018" s="18"/>
      <c r="G1018" s="49">
        <f t="shared" si="169"/>
        <v>13520000</v>
      </c>
      <c r="H1018" s="64">
        <v>323798.25</v>
      </c>
      <c r="I1018" s="64">
        <v>825093.53</v>
      </c>
      <c r="J1018" s="64">
        <v>97239.03</v>
      </c>
      <c r="K1018" s="18">
        <f t="shared" si="170"/>
        <v>12273869.190000001</v>
      </c>
      <c r="L1018" s="19">
        <f t="shared" si="171"/>
        <v>112831384</v>
      </c>
      <c r="M1018" s="20"/>
      <c r="N1018" s="20"/>
      <c r="P1018" s="55"/>
      <c r="Q1018" s="55"/>
      <c r="R1018" s="14"/>
      <c r="S1018" s="14"/>
    </row>
    <row r="1019" spans="2:19" ht="12.95" hidden="1" customHeight="1" x14ac:dyDescent="0.25">
      <c r="B1019" s="16">
        <v>43304.083333333336</v>
      </c>
      <c r="C1019" s="50" t="s">
        <v>974</v>
      </c>
      <c r="D1019" s="34"/>
      <c r="E1019" s="77">
        <v>1417074</v>
      </c>
      <c r="F1019" s="18"/>
      <c r="G1019" s="49">
        <f t="shared" si="169"/>
        <v>1417074</v>
      </c>
      <c r="H1019" s="64">
        <v>0</v>
      </c>
      <c r="I1019" s="64">
        <v>0</v>
      </c>
      <c r="J1019" s="64">
        <v>0</v>
      </c>
      <c r="K1019" s="18">
        <f t="shared" si="170"/>
        <v>1417074</v>
      </c>
      <c r="L1019" s="19">
        <f t="shared" si="171"/>
        <v>111414310</v>
      </c>
      <c r="M1019" s="20"/>
      <c r="N1019" s="20"/>
      <c r="P1019" s="55"/>
      <c r="Q1019" s="55"/>
      <c r="R1019" s="14"/>
      <c r="S1019" s="14"/>
    </row>
    <row r="1020" spans="2:19" ht="12.95" hidden="1" customHeight="1" x14ac:dyDescent="0.25">
      <c r="B1020" s="16">
        <v>43304.083333333336</v>
      </c>
      <c r="C1020" s="50" t="s">
        <v>975</v>
      </c>
      <c r="D1020" s="34"/>
      <c r="E1020" s="77">
        <v>13520000</v>
      </c>
      <c r="F1020" s="18"/>
      <c r="G1020" s="49">
        <f t="shared" si="169"/>
        <v>13520000</v>
      </c>
      <c r="H1020" s="64">
        <v>323798.25</v>
      </c>
      <c r="I1020" s="64">
        <v>825093.53</v>
      </c>
      <c r="J1020" s="64">
        <v>97239.03</v>
      </c>
      <c r="K1020" s="18">
        <f t="shared" si="170"/>
        <v>12273869.190000001</v>
      </c>
      <c r="L1020" s="19">
        <f t="shared" si="171"/>
        <v>97894310</v>
      </c>
      <c r="M1020" s="20"/>
      <c r="N1020" s="20"/>
      <c r="O1020" s="81">
        <f>+L1029-'[1]ANEXO 7 - PPTO VIG 2018'!T9</f>
        <v>0</v>
      </c>
      <c r="P1020" s="55"/>
      <c r="Q1020" s="55"/>
      <c r="R1020" s="14"/>
      <c r="S1020" s="14"/>
    </row>
    <row r="1021" spans="2:19" ht="12.95" hidden="1" customHeight="1" x14ac:dyDescent="0.25">
      <c r="B1021" s="16">
        <v>43339.083333333336</v>
      </c>
      <c r="C1021" s="50" t="s">
        <v>976</v>
      </c>
      <c r="D1021" s="34"/>
      <c r="E1021" s="77">
        <v>13520000</v>
      </c>
      <c r="F1021" s="18"/>
      <c r="G1021" s="49">
        <f t="shared" si="169"/>
        <v>13520000</v>
      </c>
      <c r="H1021" s="64">
        <v>323798.25</v>
      </c>
      <c r="I1021" s="64">
        <v>825093.53</v>
      </c>
      <c r="J1021" s="64">
        <v>97239.03</v>
      </c>
      <c r="K1021" s="18">
        <f t="shared" si="170"/>
        <v>12273869.190000001</v>
      </c>
      <c r="L1021" s="19">
        <f t="shared" si="171"/>
        <v>84374310</v>
      </c>
      <c r="M1021" s="20"/>
      <c r="N1021" s="20"/>
      <c r="O1021" s="81"/>
      <c r="P1021" s="55"/>
      <c r="Q1021" s="55"/>
      <c r="R1021" s="14"/>
      <c r="S1021" s="14"/>
    </row>
    <row r="1022" spans="2:19" ht="12.95" hidden="1" customHeight="1" x14ac:dyDescent="0.25">
      <c r="B1022" s="16">
        <v>43369.083333333336</v>
      </c>
      <c r="C1022" s="50" t="s">
        <v>977</v>
      </c>
      <c r="D1022" s="34"/>
      <c r="E1022" s="77">
        <v>1264566</v>
      </c>
      <c r="F1022" s="18"/>
      <c r="G1022" s="49">
        <f t="shared" si="169"/>
        <v>1264566</v>
      </c>
      <c r="H1022" s="64">
        <v>0</v>
      </c>
      <c r="I1022" s="37">
        <v>0</v>
      </c>
      <c r="J1022" s="64">
        <v>0</v>
      </c>
      <c r="K1022" s="18">
        <f t="shared" si="170"/>
        <v>1264566</v>
      </c>
      <c r="L1022" s="19">
        <f t="shared" si="171"/>
        <v>83109744</v>
      </c>
      <c r="M1022" s="20"/>
      <c r="N1022" s="20"/>
      <c r="P1022" s="55"/>
      <c r="Q1022" s="55"/>
      <c r="R1022" s="14"/>
      <c r="S1022" s="14"/>
    </row>
    <row r="1023" spans="2:19" ht="12.95" hidden="1" customHeight="1" x14ac:dyDescent="0.25">
      <c r="B1023" s="16">
        <v>43369.083333333336</v>
      </c>
      <c r="C1023" s="50" t="s">
        <v>978</v>
      </c>
      <c r="D1023" s="34"/>
      <c r="E1023" s="77">
        <v>13520000</v>
      </c>
      <c r="F1023" s="18"/>
      <c r="G1023" s="49">
        <f t="shared" si="169"/>
        <v>13520000</v>
      </c>
      <c r="H1023" s="64">
        <v>323798.25</v>
      </c>
      <c r="I1023" s="37">
        <v>815550</v>
      </c>
      <c r="J1023" s="64">
        <v>97239.03</v>
      </c>
      <c r="K1023" s="18">
        <f t="shared" si="170"/>
        <v>12283412.720000001</v>
      </c>
      <c r="L1023" s="19">
        <f t="shared" si="171"/>
        <v>69589744</v>
      </c>
      <c r="M1023" s="20"/>
      <c r="N1023" s="20"/>
      <c r="P1023" s="55"/>
      <c r="Q1023" s="55"/>
      <c r="R1023" s="14"/>
      <c r="S1023" s="14"/>
    </row>
    <row r="1024" spans="2:19" ht="12.75" hidden="1" customHeight="1" x14ac:dyDescent="0.25">
      <c r="B1024" s="16">
        <v>43399.083333333336</v>
      </c>
      <c r="C1024" s="50" t="s">
        <v>979</v>
      </c>
      <c r="D1024" s="34"/>
      <c r="E1024" s="77">
        <v>13520000</v>
      </c>
      <c r="F1024" s="18"/>
      <c r="G1024" s="49">
        <f t="shared" si="169"/>
        <v>13520000</v>
      </c>
      <c r="H1024" s="64">
        <v>323798.25</v>
      </c>
      <c r="I1024" s="37">
        <v>825093.53</v>
      </c>
      <c r="J1024" s="64">
        <v>97239.03</v>
      </c>
      <c r="K1024" s="18">
        <f t="shared" si="170"/>
        <v>12273869.190000001</v>
      </c>
      <c r="L1024" s="19">
        <f t="shared" si="171"/>
        <v>56069744</v>
      </c>
      <c r="M1024" s="20"/>
      <c r="N1024" s="20"/>
      <c r="P1024" s="55"/>
      <c r="Q1024" s="55"/>
      <c r="R1024" s="14"/>
      <c r="S1024" s="14"/>
    </row>
    <row r="1025" spans="2:19" ht="12.75" hidden="1" customHeight="1" x14ac:dyDescent="0.25">
      <c r="B1025" s="16">
        <v>43425.125</v>
      </c>
      <c r="C1025" s="50" t="s">
        <v>980</v>
      </c>
      <c r="D1025" s="34"/>
      <c r="E1025" s="77">
        <v>13520000</v>
      </c>
      <c r="F1025" s="18"/>
      <c r="G1025" s="49">
        <f t="shared" si="169"/>
        <v>13520000</v>
      </c>
      <c r="H1025" s="64">
        <v>323798.25</v>
      </c>
      <c r="I1025" s="37">
        <v>825093.53</v>
      </c>
      <c r="J1025" s="64">
        <v>97239.03</v>
      </c>
      <c r="K1025" s="18">
        <f t="shared" si="170"/>
        <v>12273869.190000001</v>
      </c>
      <c r="L1025" s="19">
        <f t="shared" si="171"/>
        <v>42549744</v>
      </c>
      <c r="M1025" s="20"/>
      <c r="N1025" s="20"/>
      <c r="P1025" s="55"/>
      <c r="Q1025" s="55"/>
      <c r="R1025" s="14"/>
      <c r="S1025" s="14"/>
    </row>
    <row r="1026" spans="2:19" ht="12.95" hidden="1" customHeight="1" x14ac:dyDescent="0.25">
      <c r="B1026" s="16">
        <v>43427.125</v>
      </c>
      <c r="C1026" s="50" t="s">
        <v>981</v>
      </c>
      <c r="D1026" s="34"/>
      <c r="E1026" s="77">
        <v>1964992</v>
      </c>
      <c r="F1026" s="18"/>
      <c r="G1026" s="49">
        <f t="shared" si="169"/>
        <v>1964992</v>
      </c>
      <c r="H1026" s="64">
        <v>0</v>
      </c>
      <c r="I1026" s="37">
        <v>0</v>
      </c>
      <c r="J1026" s="64">
        <v>0</v>
      </c>
      <c r="K1026" s="18">
        <f t="shared" si="170"/>
        <v>1964992</v>
      </c>
      <c r="L1026" s="19">
        <f t="shared" si="171"/>
        <v>40584752</v>
      </c>
      <c r="M1026" s="20"/>
      <c r="N1026" s="20"/>
      <c r="P1026" s="55"/>
      <c r="Q1026" s="55"/>
      <c r="R1026" s="14"/>
      <c r="S1026" s="14"/>
    </row>
    <row r="1027" spans="2:19" ht="12.95" hidden="1" customHeight="1" x14ac:dyDescent="0.25">
      <c r="B1027" s="16">
        <v>43458.125</v>
      </c>
      <c r="C1027" s="50" t="s">
        <v>982</v>
      </c>
      <c r="D1027" s="34"/>
      <c r="E1027" s="49">
        <v>13520000</v>
      </c>
      <c r="F1027" s="18"/>
      <c r="G1027" s="49">
        <f t="shared" si="169"/>
        <v>13520000</v>
      </c>
      <c r="H1027" s="64">
        <v>323798.40000000002</v>
      </c>
      <c r="I1027" s="37">
        <v>825093.53</v>
      </c>
      <c r="J1027" s="64">
        <v>109750.59</v>
      </c>
      <c r="K1027" s="18">
        <f t="shared" si="170"/>
        <v>12261357.48</v>
      </c>
      <c r="L1027" s="19">
        <f t="shared" si="171"/>
        <v>27064752</v>
      </c>
      <c r="M1027" s="20"/>
      <c r="N1027" s="20"/>
      <c r="P1027" s="55"/>
      <c r="Q1027" s="55"/>
      <c r="R1027" s="14"/>
      <c r="S1027" s="14"/>
    </row>
    <row r="1028" spans="2:19" ht="12.95" hidden="1" customHeight="1" x14ac:dyDescent="0.25">
      <c r="B1028" s="16">
        <v>43482.125</v>
      </c>
      <c r="C1028" s="50" t="s">
        <v>983</v>
      </c>
      <c r="D1028" s="34"/>
      <c r="E1028" s="77">
        <v>6760000</v>
      </c>
      <c r="F1028" s="18"/>
      <c r="G1028" s="49">
        <f t="shared" si="169"/>
        <v>6760000</v>
      </c>
      <c r="H1028" s="64">
        <v>161899.20000000001</v>
      </c>
      <c r="I1028" s="37">
        <v>14298.68</v>
      </c>
      <c r="J1028" s="64">
        <v>48619.51</v>
      </c>
      <c r="K1028" s="18">
        <f t="shared" si="170"/>
        <v>6535182.6100000003</v>
      </c>
      <c r="L1028" s="19">
        <f t="shared" si="171"/>
        <v>20304752</v>
      </c>
      <c r="M1028" s="20"/>
      <c r="N1028" s="20"/>
      <c r="P1028" s="55"/>
      <c r="Q1028" s="55"/>
      <c r="R1028" s="14"/>
      <c r="S1028" s="14"/>
    </row>
    <row r="1029" spans="2:19" ht="12.95" hidden="1" customHeight="1" x14ac:dyDescent="0.25">
      <c r="B1029" s="16">
        <v>43482.125</v>
      </c>
      <c r="C1029" s="50" t="s">
        <v>654</v>
      </c>
      <c r="D1029" s="34"/>
      <c r="E1029" s="77">
        <v>20304752</v>
      </c>
      <c r="F1029" s="18"/>
      <c r="G1029" s="49"/>
      <c r="H1029" s="64"/>
      <c r="I1029" s="37"/>
      <c r="J1029" s="64"/>
      <c r="K1029" s="18"/>
      <c r="L1029" s="19">
        <f>+L1028-E1029</f>
        <v>0</v>
      </c>
      <c r="M1029" s="20"/>
      <c r="N1029" s="20"/>
      <c r="P1029" s="55"/>
      <c r="Q1029" s="55"/>
      <c r="R1029" s="14"/>
      <c r="S1029" s="14"/>
    </row>
    <row r="1030" spans="2:19" ht="12.95" hidden="1" customHeight="1" x14ac:dyDescent="0.25">
      <c r="B1030" s="9" t="s">
        <v>984</v>
      </c>
      <c r="C1030" s="10"/>
      <c r="D1030" s="11">
        <v>63000000</v>
      </c>
      <c r="E1030" s="11">
        <f>+D1030</f>
        <v>63000000</v>
      </c>
      <c r="F1030" s="11"/>
      <c r="G1030" s="11"/>
      <c r="H1030" s="11"/>
      <c r="I1030" s="11"/>
      <c r="J1030" s="11"/>
      <c r="K1030" s="11"/>
      <c r="L1030" s="11">
        <f>+D1030</f>
        <v>63000000</v>
      </c>
      <c r="M1030" s="12"/>
      <c r="N1030" s="12"/>
      <c r="P1030" s="55"/>
      <c r="Q1030" s="55"/>
      <c r="R1030" s="14"/>
      <c r="S1030" s="14"/>
    </row>
    <row r="1031" spans="2:19" ht="12.95" hidden="1" customHeight="1" x14ac:dyDescent="0.25">
      <c r="B1031" s="16">
        <v>43167.125</v>
      </c>
      <c r="C1031" s="50" t="s">
        <v>985</v>
      </c>
      <c r="D1031" s="34"/>
      <c r="E1031" s="37">
        <v>9000000</v>
      </c>
      <c r="F1031" s="37"/>
      <c r="G1031" s="37">
        <f t="shared" ref="G1031:G1037" si="172">+E1031</f>
        <v>9000000</v>
      </c>
      <c r="H1031" s="64"/>
      <c r="I1031" s="64">
        <v>602039.98</v>
      </c>
      <c r="J1031" s="64">
        <v>77028.84</v>
      </c>
      <c r="K1031" s="18">
        <f t="shared" ref="K1031:K1036" si="173">+G1031-H1031-I1031-J1031</f>
        <v>8320931.1799999997</v>
      </c>
      <c r="L1031" s="19">
        <f t="shared" ref="L1031:L1037" si="174">+L1030-G1031</f>
        <v>54000000</v>
      </c>
      <c r="M1031" s="20"/>
      <c r="N1031" s="20"/>
      <c r="P1031" s="55"/>
      <c r="Q1031" s="55"/>
      <c r="R1031" s="14"/>
      <c r="S1031" s="14"/>
    </row>
    <row r="1032" spans="2:19" ht="12.95" hidden="1" customHeight="1" x14ac:dyDescent="0.25">
      <c r="B1032" s="16">
        <v>43196.083333333336</v>
      </c>
      <c r="C1032" s="50" t="s">
        <v>986</v>
      </c>
      <c r="D1032" s="34"/>
      <c r="E1032" s="37">
        <v>9000000</v>
      </c>
      <c r="F1032" s="37"/>
      <c r="G1032" s="37">
        <f t="shared" si="172"/>
        <v>9000000</v>
      </c>
      <c r="H1032" s="64"/>
      <c r="I1032" s="64">
        <v>602039.98</v>
      </c>
      <c r="J1032" s="64">
        <v>77028.84</v>
      </c>
      <c r="K1032" s="18">
        <f t="shared" si="173"/>
        <v>8320931.1799999997</v>
      </c>
      <c r="L1032" s="19">
        <f t="shared" si="174"/>
        <v>45000000</v>
      </c>
      <c r="M1032" s="20"/>
      <c r="N1032" s="20"/>
      <c r="P1032" s="55"/>
      <c r="Q1032" s="55"/>
      <c r="R1032" s="14"/>
      <c r="S1032" s="14"/>
    </row>
    <row r="1033" spans="2:19" ht="12.95" hidden="1" customHeight="1" x14ac:dyDescent="0.25">
      <c r="B1033" s="16">
        <v>43222.083333333336</v>
      </c>
      <c r="C1033" s="50" t="s">
        <v>987</v>
      </c>
      <c r="D1033" s="34"/>
      <c r="E1033" s="37">
        <v>9000000</v>
      </c>
      <c r="F1033" s="37"/>
      <c r="G1033" s="37">
        <f t="shared" si="172"/>
        <v>9000000</v>
      </c>
      <c r="H1033" s="64"/>
      <c r="I1033" s="64">
        <v>602039.98</v>
      </c>
      <c r="J1033" s="64">
        <v>77028.84</v>
      </c>
      <c r="K1033" s="18">
        <f t="shared" si="173"/>
        <v>8320931.1799999997</v>
      </c>
      <c r="L1033" s="19">
        <f t="shared" si="174"/>
        <v>36000000</v>
      </c>
      <c r="M1033" s="20"/>
      <c r="N1033" s="20"/>
      <c r="P1033" s="55"/>
      <c r="Q1033" s="55"/>
      <c r="R1033" s="14"/>
      <c r="S1033" s="14"/>
    </row>
    <row r="1034" spans="2:19" ht="12.75" hidden="1" customHeight="1" x14ac:dyDescent="0.25">
      <c r="B1034" s="16">
        <v>43252.083333333336</v>
      </c>
      <c r="C1034" s="50" t="s">
        <v>988</v>
      </c>
      <c r="D1034" s="34"/>
      <c r="E1034" s="37">
        <v>9000000</v>
      </c>
      <c r="F1034" s="37"/>
      <c r="G1034" s="37">
        <f t="shared" si="172"/>
        <v>9000000</v>
      </c>
      <c r="H1034" s="64"/>
      <c r="I1034" s="64">
        <v>602039.98</v>
      </c>
      <c r="J1034" s="64">
        <v>77028.84</v>
      </c>
      <c r="K1034" s="18">
        <f t="shared" si="173"/>
        <v>8320931.1799999997</v>
      </c>
      <c r="L1034" s="19">
        <f t="shared" si="174"/>
        <v>27000000</v>
      </c>
      <c r="M1034" s="20"/>
      <c r="N1034" s="20"/>
      <c r="P1034" s="55"/>
      <c r="Q1034" s="55"/>
      <c r="R1034" s="14"/>
      <c r="S1034" s="14"/>
    </row>
    <row r="1035" spans="2:19" ht="12.75" hidden="1" customHeight="1" x14ac:dyDescent="0.25">
      <c r="B1035" s="16">
        <v>43287.083333333336</v>
      </c>
      <c r="C1035" s="50" t="s">
        <v>989</v>
      </c>
      <c r="D1035" s="34"/>
      <c r="E1035" s="37">
        <v>9000000</v>
      </c>
      <c r="F1035" s="37"/>
      <c r="G1035" s="37">
        <f t="shared" si="172"/>
        <v>9000000</v>
      </c>
      <c r="H1035" s="64"/>
      <c r="I1035" s="64">
        <v>602039.98</v>
      </c>
      <c r="J1035" s="64">
        <v>77028.84</v>
      </c>
      <c r="K1035" s="18">
        <f t="shared" si="173"/>
        <v>8320931.1799999997</v>
      </c>
      <c r="L1035" s="19">
        <f t="shared" si="174"/>
        <v>18000000</v>
      </c>
      <c r="M1035" s="20"/>
      <c r="N1035" s="20"/>
      <c r="P1035" s="55"/>
      <c r="Q1035" s="55"/>
      <c r="R1035" s="14"/>
      <c r="S1035" s="14"/>
    </row>
    <row r="1036" spans="2:19" ht="12.75" hidden="1" customHeight="1" x14ac:dyDescent="0.25">
      <c r="B1036" s="16">
        <v>43314.083333333336</v>
      </c>
      <c r="C1036" s="50" t="s">
        <v>990</v>
      </c>
      <c r="D1036" s="34"/>
      <c r="E1036" s="37">
        <v>9000000</v>
      </c>
      <c r="F1036" s="37"/>
      <c r="G1036" s="37">
        <f t="shared" si="172"/>
        <v>9000000</v>
      </c>
      <c r="H1036" s="64"/>
      <c r="I1036" s="64">
        <v>602039.98</v>
      </c>
      <c r="J1036" s="64">
        <v>77028.84</v>
      </c>
      <c r="K1036" s="18">
        <f t="shared" si="173"/>
        <v>8320931.1799999997</v>
      </c>
      <c r="L1036" s="19">
        <f t="shared" si="174"/>
        <v>9000000</v>
      </c>
      <c r="M1036" s="20"/>
      <c r="N1036" s="20"/>
      <c r="O1036" s="81">
        <f>+L1037-'[1]ANEXO 7 - PPTO VIG 2018'!T89</f>
        <v>0</v>
      </c>
      <c r="P1036" s="55"/>
      <c r="Q1036" s="55"/>
      <c r="R1036" s="14"/>
      <c r="S1036" s="14"/>
    </row>
    <row r="1037" spans="2:19" ht="12.75" hidden="1" customHeight="1" x14ac:dyDescent="0.25">
      <c r="B1037" s="16">
        <v>43347.083333333336</v>
      </c>
      <c r="C1037" s="50" t="s">
        <v>991</v>
      </c>
      <c r="D1037" s="34"/>
      <c r="E1037" s="37">
        <v>9000000</v>
      </c>
      <c r="F1037" s="37"/>
      <c r="G1037" s="37">
        <f t="shared" si="172"/>
        <v>9000000</v>
      </c>
      <c r="H1037" s="64"/>
      <c r="I1037" s="37">
        <v>602039.98</v>
      </c>
      <c r="J1037" s="64">
        <v>77028.84</v>
      </c>
      <c r="K1037" s="18">
        <f>+G1037-H1037-I1037-J1037</f>
        <v>8320931.1799999997</v>
      </c>
      <c r="L1037" s="19">
        <f t="shared" si="174"/>
        <v>0</v>
      </c>
      <c r="M1037" s="20"/>
      <c r="N1037" s="20"/>
      <c r="O1037" s="81"/>
      <c r="P1037" s="55"/>
      <c r="Q1037" s="55"/>
      <c r="R1037" s="14"/>
      <c r="S1037" s="14"/>
    </row>
    <row r="1038" spans="2:19" ht="12.95" hidden="1" customHeight="1" x14ac:dyDescent="0.25">
      <c r="B1038" s="9" t="s">
        <v>992</v>
      </c>
      <c r="C1038" s="10"/>
      <c r="D1038" s="11">
        <v>19600000</v>
      </c>
      <c r="E1038" s="11">
        <f>+D1038</f>
        <v>19600000</v>
      </c>
      <c r="F1038" s="11"/>
      <c r="G1038" s="11"/>
      <c r="H1038" s="11"/>
      <c r="I1038" s="11"/>
      <c r="J1038" s="11"/>
      <c r="K1038" s="11"/>
      <c r="L1038" s="11">
        <f>+D1038</f>
        <v>19600000</v>
      </c>
      <c r="M1038" s="12"/>
      <c r="N1038" s="12"/>
      <c r="P1038" s="55"/>
      <c r="Q1038" s="55"/>
      <c r="R1038" s="14"/>
      <c r="S1038" s="14"/>
    </row>
    <row r="1039" spans="2:19" ht="12.95" hidden="1" customHeight="1" x14ac:dyDescent="0.25">
      <c r="B1039" s="16">
        <v>43171.083333333336</v>
      </c>
      <c r="C1039" s="50" t="s">
        <v>993</v>
      </c>
      <c r="D1039" s="34"/>
      <c r="E1039" s="37">
        <v>2800000</v>
      </c>
      <c r="F1039" s="37"/>
      <c r="G1039" s="37">
        <f>+E1039</f>
        <v>2800000</v>
      </c>
      <c r="H1039" s="64"/>
      <c r="I1039" s="64">
        <v>0</v>
      </c>
      <c r="J1039" s="64">
        <v>23964.53</v>
      </c>
      <c r="K1039" s="18">
        <f t="shared" ref="K1039:K1044" si="175">+G1039-H1039-I1039-J1039</f>
        <v>2776035.47</v>
      </c>
      <c r="L1039" s="19">
        <f>+L1038-G1039</f>
        <v>16800000</v>
      </c>
      <c r="M1039" s="20"/>
      <c r="N1039" s="20"/>
      <c r="P1039" s="55"/>
      <c r="Q1039" s="55"/>
      <c r="R1039" s="14"/>
      <c r="S1039" s="14"/>
    </row>
    <row r="1040" spans="2:19" ht="12.95" hidden="1" customHeight="1" x14ac:dyDescent="0.25">
      <c r="B1040" s="16">
        <v>43195.083333333336</v>
      </c>
      <c r="C1040" s="50" t="s">
        <v>994</v>
      </c>
      <c r="D1040" s="34"/>
      <c r="E1040" s="37">
        <v>2800000</v>
      </c>
      <c r="F1040" s="37"/>
      <c r="G1040" s="37">
        <f>+E1040</f>
        <v>2800000</v>
      </c>
      <c r="H1040" s="64"/>
      <c r="I1040" s="64">
        <v>0</v>
      </c>
      <c r="J1040" s="64">
        <v>23964.53</v>
      </c>
      <c r="K1040" s="18">
        <f t="shared" si="175"/>
        <v>2776035.47</v>
      </c>
      <c r="L1040" s="19">
        <f t="shared" ref="L1040:L1045" si="176">+L1039-G1040</f>
        <v>14000000</v>
      </c>
      <c r="M1040" s="20"/>
      <c r="N1040" s="20"/>
      <c r="P1040" s="55"/>
      <c r="Q1040" s="55"/>
      <c r="R1040" s="14"/>
      <c r="S1040" s="14"/>
    </row>
    <row r="1041" spans="2:19" ht="12.95" hidden="1" customHeight="1" x14ac:dyDescent="0.25">
      <c r="B1041" s="16">
        <v>43227</v>
      </c>
      <c r="C1041" s="50" t="s">
        <v>995</v>
      </c>
      <c r="D1041" s="34"/>
      <c r="E1041" s="37">
        <v>2800000</v>
      </c>
      <c r="F1041" s="37"/>
      <c r="G1041" s="37">
        <v>2800000</v>
      </c>
      <c r="H1041" s="64"/>
      <c r="I1041" s="64"/>
      <c r="J1041" s="64">
        <v>23964.53</v>
      </c>
      <c r="K1041" s="18">
        <f t="shared" si="175"/>
        <v>2776035.47</v>
      </c>
      <c r="L1041" s="19">
        <f t="shared" si="176"/>
        <v>11200000</v>
      </c>
      <c r="M1041" s="20"/>
      <c r="N1041" s="20"/>
      <c r="P1041" s="55"/>
      <c r="Q1041" s="55"/>
      <c r="R1041" s="14"/>
      <c r="S1041" s="14"/>
    </row>
    <row r="1042" spans="2:19" ht="12.95" hidden="1" customHeight="1" x14ac:dyDescent="0.25">
      <c r="B1042" s="16">
        <v>43252.083333333336</v>
      </c>
      <c r="C1042" s="50" t="s">
        <v>996</v>
      </c>
      <c r="D1042" s="34"/>
      <c r="E1042" s="37">
        <v>2800000</v>
      </c>
      <c r="F1042" s="37"/>
      <c r="G1042" s="37">
        <v>2800000</v>
      </c>
      <c r="H1042" s="64"/>
      <c r="I1042" s="64"/>
      <c r="J1042" s="64">
        <v>23964.53</v>
      </c>
      <c r="K1042" s="18">
        <f t="shared" si="175"/>
        <v>2776035.47</v>
      </c>
      <c r="L1042" s="19">
        <f t="shared" si="176"/>
        <v>8400000</v>
      </c>
      <c r="M1042" s="20"/>
      <c r="N1042" s="20"/>
      <c r="P1042" s="55"/>
      <c r="Q1042" s="55"/>
      <c r="R1042" s="14"/>
      <c r="S1042" s="14"/>
    </row>
    <row r="1043" spans="2:19" ht="12.95" hidden="1" customHeight="1" x14ac:dyDescent="0.25">
      <c r="B1043" s="16">
        <v>43290.083333333336</v>
      </c>
      <c r="C1043" s="50" t="s">
        <v>997</v>
      </c>
      <c r="D1043" s="34"/>
      <c r="E1043" s="37">
        <v>2800000</v>
      </c>
      <c r="F1043" s="37"/>
      <c r="G1043" s="37">
        <v>2800000</v>
      </c>
      <c r="H1043" s="64"/>
      <c r="I1043" s="64"/>
      <c r="J1043" s="64">
        <v>23964.53</v>
      </c>
      <c r="K1043" s="18">
        <f t="shared" si="175"/>
        <v>2776035.47</v>
      </c>
      <c r="L1043" s="19">
        <f t="shared" si="176"/>
        <v>5600000</v>
      </c>
      <c r="M1043" s="20"/>
      <c r="N1043" s="20"/>
      <c r="P1043" s="55"/>
      <c r="Q1043" s="55"/>
      <c r="R1043" s="14"/>
      <c r="S1043" s="14"/>
    </row>
    <row r="1044" spans="2:19" ht="12.95" hidden="1" customHeight="1" x14ac:dyDescent="0.25">
      <c r="B1044" s="16">
        <v>43320.083333333336</v>
      </c>
      <c r="C1044" s="50" t="s">
        <v>998</v>
      </c>
      <c r="D1044" s="34"/>
      <c r="E1044" s="37">
        <v>2800000</v>
      </c>
      <c r="F1044" s="37"/>
      <c r="G1044" s="37">
        <v>2800000</v>
      </c>
      <c r="H1044" s="64"/>
      <c r="I1044" s="64"/>
      <c r="J1044" s="64">
        <v>23964.53</v>
      </c>
      <c r="K1044" s="18">
        <f t="shared" si="175"/>
        <v>2776035.47</v>
      </c>
      <c r="L1044" s="19">
        <f t="shared" si="176"/>
        <v>2800000</v>
      </c>
      <c r="M1044" s="20"/>
      <c r="N1044" s="20"/>
      <c r="O1044" s="81">
        <f>+L1045-'[1]ANEXO 7 - PPTO VIG 2018'!T91</f>
        <v>0</v>
      </c>
      <c r="P1044" s="55"/>
      <c r="Q1044" s="55"/>
      <c r="R1044" s="14"/>
      <c r="S1044" s="14"/>
    </row>
    <row r="1045" spans="2:19" ht="12.95" hidden="1" customHeight="1" x14ac:dyDescent="0.25">
      <c r="B1045" s="16">
        <v>43362.083333333336</v>
      </c>
      <c r="C1045" s="50" t="s">
        <v>999</v>
      </c>
      <c r="D1045" s="34"/>
      <c r="E1045" s="37">
        <v>2800000</v>
      </c>
      <c r="F1045" s="37"/>
      <c r="G1045" s="37">
        <v>2800000</v>
      </c>
      <c r="H1045" s="64"/>
      <c r="I1045" s="37"/>
      <c r="J1045" s="64">
        <v>23964.53</v>
      </c>
      <c r="K1045" s="18">
        <f>+G1045-H1045-I1045-J1045</f>
        <v>2776035.47</v>
      </c>
      <c r="L1045" s="19">
        <f t="shared" si="176"/>
        <v>0</v>
      </c>
      <c r="M1045" s="20"/>
      <c r="N1045" s="20"/>
      <c r="O1045" s="81"/>
      <c r="P1045" s="55"/>
      <c r="Q1045" s="55"/>
      <c r="R1045" s="14"/>
      <c r="S1045" s="14"/>
    </row>
    <row r="1046" spans="2:19" ht="12.95" hidden="1" customHeight="1" x14ac:dyDescent="0.25">
      <c r="B1046" s="9" t="s">
        <v>1000</v>
      </c>
      <c r="C1046" s="10"/>
      <c r="D1046" s="11">
        <v>93000000</v>
      </c>
      <c r="E1046" s="11">
        <f>+D1046</f>
        <v>93000000</v>
      </c>
      <c r="F1046" s="11"/>
      <c r="G1046" s="11"/>
      <c r="H1046" s="11"/>
      <c r="I1046" s="11"/>
      <c r="J1046" s="11"/>
      <c r="K1046" s="11"/>
      <c r="L1046" s="11">
        <f>+D1046</f>
        <v>93000000</v>
      </c>
      <c r="M1046" s="12"/>
      <c r="N1046" s="12"/>
      <c r="P1046" s="55"/>
      <c r="Q1046" s="55"/>
      <c r="R1046" s="14"/>
      <c r="S1046" s="14"/>
    </row>
    <row r="1047" spans="2:19" ht="12.95" hidden="1" customHeight="1" x14ac:dyDescent="0.25">
      <c r="B1047" s="16">
        <v>43171.083333333336</v>
      </c>
      <c r="C1047" s="50" t="s">
        <v>1001</v>
      </c>
      <c r="D1047" s="34"/>
      <c r="E1047" s="37">
        <v>9000000</v>
      </c>
      <c r="F1047" s="37"/>
      <c r="G1047" s="37">
        <f t="shared" ref="G1047:G1055" si="177">+E1047</f>
        <v>9000000</v>
      </c>
      <c r="H1047" s="64"/>
      <c r="I1047" s="64">
        <v>413040.01</v>
      </c>
      <c r="J1047" s="64">
        <v>77028.84</v>
      </c>
      <c r="K1047" s="18">
        <f t="shared" ref="K1047:K1055" si="178">+G1047-H1047-I1047-J1047</f>
        <v>8509931.1500000004</v>
      </c>
      <c r="L1047" s="19">
        <f t="shared" ref="L1047:L1055" si="179">+L1046-G1047</f>
        <v>84000000</v>
      </c>
      <c r="M1047" s="20"/>
      <c r="N1047" s="20"/>
      <c r="O1047" s="81"/>
      <c r="P1047" s="55"/>
      <c r="Q1047" s="55"/>
      <c r="R1047" s="14"/>
      <c r="S1047" s="14"/>
    </row>
    <row r="1048" spans="2:19" ht="12.95" hidden="1" customHeight="1" x14ac:dyDescent="0.25">
      <c r="B1048" s="16">
        <v>43201.083333333336</v>
      </c>
      <c r="C1048" s="50" t="s">
        <v>1002</v>
      </c>
      <c r="D1048" s="34"/>
      <c r="E1048" s="37">
        <v>9000000</v>
      </c>
      <c r="F1048" s="37"/>
      <c r="G1048" s="37">
        <f t="shared" si="177"/>
        <v>9000000</v>
      </c>
      <c r="H1048" s="64"/>
      <c r="I1048" s="64">
        <v>413040.01</v>
      </c>
      <c r="J1048" s="64">
        <v>77028.84</v>
      </c>
      <c r="K1048" s="18">
        <f t="shared" si="178"/>
        <v>8509931.1500000004</v>
      </c>
      <c r="L1048" s="19">
        <f t="shared" si="179"/>
        <v>75000000</v>
      </c>
      <c r="M1048" s="20"/>
      <c r="N1048" s="20"/>
      <c r="O1048" s="81"/>
      <c r="P1048" s="55"/>
      <c r="Q1048" s="55"/>
      <c r="R1048" s="14"/>
      <c r="S1048" s="14"/>
    </row>
    <row r="1049" spans="2:19" ht="12.75" hidden="1" customHeight="1" x14ac:dyDescent="0.25">
      <c r="B1049" s="16">
        <v>43224</v>
      </c>
      <c r="C1049" s="50" t="s">
        <v>1003</v>
      </c>
      <c r="D1049" s="34"/>
      <c r="E1049" s="37">
        <v>9000000</v>
      </c>
      <c r="F1049" s="37"/>
      <c r="G1049" s="37">
        <f t="shared" si="177"/>
        <v>9000000</v>
      </c>
      <c r="H1049" s="64"/>
      <c r="I1049" s="64">
        <v>413040.01</v>
      </c>
      <c r="J1049" s="64">
        <v>77028.84</v>
      </c>
      <c r="K1049" s="18">
        <f t="shared" si="178"/>
        <v>8509931.1500000004</v>
      </c>
      <c r="L1049" s="19">
        <f t="shared" si="179"/>
        <v>66000000</v>
      </c>
      <c r="M1049" s="20"/>
      <c r="N1049" s="20"/>
      <c r="O1049" s="81"/>
      <c r="P1049" s="55"/>
      <c r="Q1049" s="55"/>
      <c r="R1049" s="14"/>
      <c r="S1049" s="14"/>
    </row>
    <row r="1050" spans="2:19" ht="12.75" hidden="1" customHeight="1" x14ac:dyDescent="0.25">
      <c r="B1050" s="16">
        <v>43252.083333333336</v>
      </c>
      <c r="C1050" s="50" t="s">
        <v>1004</v>
      </c>
      <c r="D1050" s="34"/>
      <c r="E1050" s="37">
        <v>9000000</v>
      </c>
      <c r="F1050" s="37"/>
      <c r="G1050" s="37">
        <f t="shared" si="177"/>
        <v>9000000</v>
      </c>
      <c r="H1050" s="64"/>
      <c r="I1050" s="64">
        <v>413040.01</v>
      </c>
      <c r="J1050" s="64">
        <v>77028.84</v>
      </c>
      <c r="K1050" s="18">
        <f t="shared" si="178"/>
        <v>8509931.1500000004</v>
      </c>
      <c r="L1050" s="19">
        <f t="shared" si="179"/>
        <v>57000000</v>
      </c>
      <c r="M1050" s="20"/>
      <c r="N1050" s="20"/>
      <c r="O1050" s="81"/>
      <c r="P1050" s="55"/>
      <c r="Q1050" s="55"/>
      <c r="R1050" s="14"/>
      <c r="S1050" s="14"/>
    </row>
    <row r="1051" spans="2:19" ht="12.75" hidden="1" customHeight="1" x14ac:dyDescent="0.25">
      <c r="B1051" s="16">
        <v>43287.083333333336</v>
      </c>
      <c r="C1051" s="50" t="s">
        <v>1005</v>
      </c>
      <c r="D1051" s="34"/>
      <c r="E1051" s="37">
        <v>9000000</v>
      </c>
      <c r="F1051" s="37"/>
      <c r="G1051" s="37">
        <f t="shared" si="177"/>
        <v>9000000</v>
      </c>
      <c r="H1051" s="64"/>
      <c r="I1051" s="64">
        <v>413040.01</v>
      </c>
      <c r="J1051" s="64">
        <v>77028.84</v>
      </c>
      <c r="K1051" s="18">
        <f t="shared" si="178"/>
        <v>8509931.1500000004</v>
      </c>
      <c r="L1051" s="19">
        <f t="shared" si="179"/>
        <v>48000000</v>
      </c>
      <c r="M1051" s="20"/>
      <c r="N1051" s="20"/>
      <c r="O1051" s="81"/>
      <c r="P1051" s="55"/>
      <c r="Q1051" s="55"/>
      <c r="R1051" s="14"/>
      <c r="S1051" s="14"/>
    </row>
    <row r="1052" spans="2:19" ht="12.75" hidden="1" customHeight="1" x14ac:dyDescent="0.25">
      <c r="B1052" s="16">
        <v>43287.083333333336</v>
      </c>
      <c r="C1052" s="50" t="s">
        <v>1006</v>
      </c>
      <c r="D1052" s="34"/>
      <c r="E1052" s="37">
        <v>1443382</v>
      </c>
      <c r="F1052" s="37"/>
      <c r="G1052" s="37">
        <f t="shared" si="177"/>
        <v>1443382</v>
      </c>
      <c r="H1052" s="64"/>
      <c r="I1052" s="64"/>
      <c r="J1052" s="64"/>
      <c r="K1052" s="18">
        <f t="shared" si="178"/>
        <v>1443382</v>
      </c>
      <c r="L1052" s="19">
        <f t="shared" si="179"/>
        <v>46556618</v>
      </c>
      <c r="M1052" s="20"/>
      <c r="N1052" s="20"/>
      <c r="O1052" s="81"/>
      <c r="P1052" s="55"/>
      <c r="Q1052" s="55"/>
      <c r="R1052" s="14"/>
      <c r="S1052" s="14"/>
    </row>
    <row r="1053" spans="2:19" ht="12.75" hidden="1" customHeight="1" x14ac:dyDescent="0.25">
      <c r="B1053" s="16">
        <v>43320.083333333336</v>
      </c>
      <c r="C1053" s="50" t="s">
        <v>1007</v>
      </c>
      <c r="D1053" s="34"/>
      <c r="E1053" s="37">
        <v>9000000</v>
      </c>
      <c r="F1053" s="37"/>
      <c r="G1053" s="37">
        <f t="shared" si="177"/>
        <v>9000000</v>
      </c>
      <c r="H1053" s="64"/>
      <c r="I1053" s="64">
        <v>413040.01</v>
      </c>
      <c r="J1053" s="64">
        <v>77028.84</v>
      </c>
      <c r="K1053" s="18">
        <f t="shared" si="178"/>
        <v>8509931.1500000004</v>
      </c>
      <c r="L1053" s="19">
        <f t="shared" si="179"/>
        <v>37556618</v>
      </c>
      <c r="M1053" s="20"/>
      <c r="N1053" s="20"/>
      <c r="O1053" s="81">
        <f>+L1056-'[1]ANEXO 7 - PPTO VIG 2018'!T30</f>
        <v>0</v>
      </c>
      <c r="P1053" s="55"/>
      <c r="Q1053" s="55"/>
      <c r="R1053" s="14"/>
      <c r="S1053" s="14"/>
    </row>
    <row r="1054" spans="2:19" ht="12.75" hidden="1" customHeight="1" x14ac:dyDescent="0.25">
      <c r="B1054" s="16">
        <v>43356.083333333336</v>
      </c>
      <c r="C1054" s="50" t="s">
        <v>1008</v>
      </c>
      <c r="D1054" s="34"/>
      <c r="E1054" s="37">
        <v>2151139</v>
      </c>
      <c r="F1054" s="37"/>
      <c r="G1054" s="37">
        <f t="shared" si="177"/>
        <v>2151139</v>
      </c>
      <c r="H1054" s="64"/>
      <c r="I1054" s="37"/>
      <c r="J1054" s="64"/>
      <c r="K1054" s="18">
        <f t="shared" si="178"/>
        <v>2151139</v>
      </c>
      <c r="L1054" s="19">
        <f t="shared" si="179"/>
        <v>35405479</v>
      </c>
      <c r="M1054" s="20"/>
      <c r="N1054" s="20"/>
      <c r="O1054" s="81"/>
      <c r="P1054" s="55"/>
      <c r="Q1054" s="55"/>
      <c r="R1054" s="14"/>
      <c r="S1054" s="14"/>
    </row>
    <row r="1055" spans="2:19" ht="12.75" hidden="1" customHeight="1" x14ac:dyDescent="0.25">
      <c r="B1055" s="16">
        <v>43362.083333333336</v>
      </c>
      <c r="C1055" s="50" t="s">
        <v>1009</v>
      </c>
      <c r="D1055" s="34"/>
      <c r="E1055" s="37">
        <v>9000000</v>
      </c>
      <c r="F1055" s="37"/>
      <c r="G1055" s="37">
        <f t="shared" si="177"/>
        <v>9000000</v>
      </c>
      <c r="H1055" s="64"/>
      <c r="I1055" s="37">
        <v>420600.01</v>
      </c>
      <c r="J1055" s="64">
        <v>77028.84</v>
      </c>
      <c r="K1055" s="18">
        <f t="shared" si="178"/>
        <v>8502371.1500000004</v>
      </c>
      <c r="L1055" s="19">
        <f t="shared" si="179"/>
        <v>26405479</v>
      </c>
      <c r="M1055" s="20"/>
      <c r="N1055" s="20"/>
      <c r="O1055" s="81"/>
      <c r="P1055" s="55"/>
      <c r="Q1055" s="55"/>
      <c r="R1055" s="14"/>
      <c r="S1055" s="14"/>
    </row>
    <row r="1056" spans="2:19" ht="12.75" hidden="1" customHeight="1" x14ac:dyDescent="0.25">
      <c r="B1056" s="16">
        <v>43362.083333333336</v>
      </c>
      <c r="C1056" s="50" t="s">
        <v>654</v>
      </c>
      <c r="D1056" s="34"/>
      <c r="E1056" s="37">
        <v>26405479</v>
      </c>
      <c r="F1056" s="37"/>
      <c r="G1056" s="37"/>
      <c r="H1056" s="64"/>
      <c r="I1056" s="37"/>
      <c r="J1056" s="64"/>
      <c r="K1056" s="18"/>
      <c r="L1056" s="19">
        <f>+L1055-E1056</f>
        <v>0</v>
      </c>
      <c r="M1056" s="20"/>
      <c r="N1056" s="20"/>
      <c r="O1056" s="81"/>
      <c r="P1056" s="55"/>
      <c r="Q1056" s="55"/>
      <c r="R1056" s="14"/>
      <c r="S1056" s="14"/>
    </row>
    <row r="1057" spans="2:19" ht="12.95" hidden="1" customHeight="1" x14ac:dyDescent="0.25">
      <c r="B1057" s="9" t="s">
        <v>1010</v>
      </c>
      <c r="C1057" s="10"/>
      <c r="D1057" s="11">
        <v>35000000</v>
      </c>
      <c r="E1057" s="11">
        <f>+D1057</f>
        <v>35000000</v>
      </c>
      <c r="F1057" s="11"/>
      <c r="G1057" s="11"/>
      <c r="H1057" s="11"/>
      <c r="I1057" s="11"/>
      <c r="J1057" s="11"/>
      <c r="K1057" s="11"/>
      <c r="L1057" s="11">
        <f>+D1057</f>
        <v>35000000</v>
      </c>
      <c r="M1057" s="12"/>
      <c r="N1057" s="12"/>
      <c r="P1057" s="55"/>
      <c r="Q1057" s="55"/>
      <c r="R1057" s="14"/>
      <c r="S1057" s="14"/>
    </row>
    <row r="1058" spans="2:19" ht="12.95" hidden="1" customHeight="1" x14ac:dyDescent="0.25">
      <c r="B1058" s="16">
        <v>43171.083333333336</v>
      </c>
      <c r="C1058" s="50" t="s">
        <v>1011</v>
      </c>
      <c r="D1058" s="34"/>
      <c r="E1058" s="34">
        <v>5000000</v>
      </c>
      <c r="F1058" s="37"/>
      <c r="G1058" s="37">
        <f t="shared" ref="G1058:G1064" si="180">+E1058</f>
        <v>5000000</v>
      </c>
      <c r="H1058" s="64"/>
      <c r="I1058" s="64">
        <v>31312.959999999999</v>
      </c>
      <c r="J1058" s="64">
        <v>42793.8</v>
      </c>
      <c r="K1058" s="18">
        <f t="shared" ref="K1058:K1063" si="181">+G1058-H1058-I1058-J1058</f>
        <v>4925893.24</v>
      </c>
      <c r="L1058" s="19">
        <f t="shared" ref="L1058:L1064" si="182">+L1057-G1058</f>
        <v>30000000</v>
      </c>
      <c r="M1058" s="20"/>
      <c r="N1058" s="20"/>
      <c r="O1058" s="81"/>
      <c r="P1058" s="55"/>
      <c r="Q1058" s="55"/>
      <c r="R1058" s="14"/>
      <c r="S1058" s="14"/>
    </row>
    <row r="1059" spans="2:19" ht="12.75" hidden="1" customHeight="1" x14ac:dyDescent="0.25">
      <c r="B1059" s="16">
        <v>43201.083333333336</v>
      </c>
      <c r="C1059" s="50" t="s">
        <v>1012</v>
      </c>
      <c r="D1059" s="34"/>
      <c r="E1059" s="34">
        <v>5000000</v>
      </c>
      <c r="F1059" s="37"/>
      <c r="G1059" s="37">
        <f t="shared" si="180"/>
        <v>5000000</v>
      </c>
      <c r="H1059" s="64"/>
      <c r="I1059" s="64">
        <v>31312.959999999999</v>
      </c>
      <c r="J1059" s="64">
        <v>42793.8</v>
      </c>
      <c r="K1059" s="18">
        <f t="shared" si="181"/>
        <v>4925893.24</v>
      </c>
      <c r="L1059" s="19">
        <f t="shared" si="182"/>
        <v>25000000</v>
      </c>
      <c r="M1059" s="20"/>
      <c r="N1059" s="20"/>
      <c r="O1059" s="81"/>
      <c r="P1059" s="55"/>
      <c r="Q1059" s="55"/>
      <c r="R1059" s="14"/>
      <c r="S1059" s="14"/>
    </row>
    <row r="1060" spans="2:19" ht="12.95" hidden="1" customHeight="1" x14ac:dyDescent="0.25">
      <c r="B1060" s="16">
        <v>43227</v>
      </c>
      <c r="C1060" s="50" t="s">
        <v>1013</v>
      </c>
      <c r="D1060" s="34"/>
      <c r="E1060" s="34">
        <v>5000000</v>
      </c>
      <c r="F1060" s="37"/>
      <c r="G1060" s="37">
        <f t="shared" si="180"/>
        <v>5000000</v>
      </c>
      <c r="H1060" s="64"/>
      <c r="I1060" s="64">
        <v>31312.959999999999</v>
      </c>
      <c r="J1060" s="64">
        <v>42793.8</v>
      </c>
      <c r="K1060" s="18">
        <f t="shared" si="181"/>
        <v>4925893.24</v>
      </c>
      <c r="L1060" s="19">
        <f t="shared" si="182"/>
        <v>20000000</v>
      </c>
      <c r="M1060" s="20"/>
      <c r="N1060" s="20"/>
      <c r="O1060" s="81"/>
      <c r="P1060" s="55"/>
      <c r="Q1060" s="55"/>
      <c r="R1060" s="14"/>
      <c r="S1060" s="14"/>
    </row>
    <row r="1061" spans="2:19" ht="12.95" hidden="1" customHeight="1" x14ac:dyDescent="0.25">
      <c r="B1061" s="16">
        <v>43252.083333333336</v>
      </c>
      <c r="C1061" s="50" t="s">
        <v>1014</v>
      </c>
      <c r="D1061" s="34"/>
      <c r="E1061" s="34">
        <v>5000000</v>
      </c>
      <c r="F1061" s="37"/>
      <c r="G1061" s="37">
        <f t="shared" si="180"/>
        <v>5000000</v>
      </c>
      <c r="H1061" s="64"/>
      <c r="I1061" s="64">
        <v>31312.959999999999</v>
      </c>
      <c r="J1061" s="64">
        <v>42793.8</v>
      </c>
      <c r="K1061" s="18">
        <f t="shared" si="181"/>
        <v>4925893.24</v>
      </c>
      <c r="L1061" s="19">
        <f t="shared" si="182"/>
        <v>15000000</v>
      </c>
      <c r="M1061" s="20"/>
      <c r="N1061" s="20"/>
      <c r="O1061" s="81"/>
      <c r="P1061" s="55"/>
      <c r="Q1061" s="55"/>
      <c r="R1061" s="14"/>
      <c r="S1061" s="14"/>
    </row>
    <row r="1062" spans="2:19" ht="12.75" hidden="1" customHeight="1" x14ac:dyDescent="0.25">
      <c r="B1062" s="16">
        <v>43290.083333333336</v>
      </c>
      <c r="C1062" s="50" t="s">
        <v>1015</v>
      </c>
      <c r="D1062" s="34"/>
      <c r="E1062" s="34">
        <v>5000000</v>
      </c>
      <c r="F1062" s="37"/>
      <c r="G1062" s="37">
        <f t="shared" si="180"/>
        <v>5000000</v>
      </c>
      <c r="H1062" s="64"/>
      <c r="I1062" s="64">
        <v>31312.959999999999</v>
      </c>
      <c r="J1062" s="64">
        <v>42793.8</v>
      </c>
      <c r="K1062" s="18">
        <f t="shared" si="181"/>
        <v>4925893.24</v>
      </c>
      <c r="L1062" s="19">
        <f t="shared" si="182"/>
        <v>10000000</v>
      </c>
      <c r="M1062" s="20"/>
      <c r="N1062" s="20"/>
      <c r="O1062" s="81"/>
      <c r="P1062" s="55"/>
      <c r="Q1062" s="55"/>
      <c r="R1062" s="14"/>
      <c r="S1062" s="14"/>
    </row>
    <row r="1063" spans="2:19" ht="12.75" hidden="1" customHeight="1" x14ac:dyDescent="0.25">
      <c r="B1063" s="16">
        <v>43314.083333333336</v>
      </c>
      <c r="C1063" s="50" t="s">
        <v>1016</v>
      </c>
      <c r="D1063" s="34"/>
      <c r="E1063" s="34">
        <v>5000000</v>
      </c>
      <c r="F1063" s="37"/>
      <c r="G1063" s="37">
        <f t="shared" si="180"/>
        <v>5000000</v>
      </c>
      <c r="H1063" s="64"/>
      <c r="I1063" s="64">
        <v>31312.959999999999</v>
      </c>
      <c r="J1063" s="64">
        <v>42793.8</v>
      </c>
      <c r="K1063" s="18">
        <f t="shared" si="181"/>
        <v>4925893.24</v>
      </c>
      <c r="L1063" s="19">
        <f t="shared" si="182"/>
        <v>5000000</v>
      </c>
      <c r="M1063" s="20"/>
      <c r="N1063" s="20"/>
      <c r="O1063" s="81">
        <f>+L1064-'[1]ANEXO 7 - PPTO VIG 2018'!T90</f>
        <v>0</v>
      </c>
      <c r="P1063" s="55"/>
      <c r="Q1063" s="55"/>
      <c r="R1063" s="14"/>
      <c r="S1063" s="14"/>
    </row>
    <row r="1064" spans="2:19" ht="12.75" hidden="1" customHeight="1" x14ac:dyDescent="0.25">
      <c r="B1064" s="16">
        <v>43350.083333333336</v>
      </c>
      <c r="C1064" s="50" t="s">
        <v>1017</v>
      </c>
      <c r="D1064" s="34"/>
      <c r="E1064" s="34">
        <v>5000000</v>
      </c>
      <c r="F1064" s="37"/>
      <c r="G1064" s="37">
        <f t="shared" si="180"/>
        <v>5000000</v>
      </c>
      <c r="H1064" s="64"/>
      <c r="I1064" s="37">
        <v>31312.959999999999</v>
      </c>
      <c r="J1064" s="64">
        <v>42793.8</v>
      </c>
      <c r="K1064" s="18">
        <f>+G1064-H1064-I1064-J1064</f>
        <v>4925893.24</v>
      </c>
      <c r="L1064" s="19">
        <f t="shared" si="182"/>
        <v>0</v>
      </c>
      <c r="M1064" s="20"/>
      <c r="N1064" s="20"/>
      <c r="O1064" s="81"/>
      <c r="P1064" s="55"/>
      <c r="Q1064" s="55"/>
      <c r="R1064" s="14"/>
      <c r="S1064" s="14"/>
    </row>
    <row r="1065" spans="2:19" ht="12.95" hidden="1" customHeight="1" x14ac:dyDescent="0.25">
      <c r="B1065" s="9" t="s">
        <v>1018</v>
      </c>
      <c r="C1065" s="10"/>
      <c r="D1065" s="11">
        <v>69000000</v>
      </c>
      <c r="E1065" s="11">
        <f>+D1065</f>
        <v>69000000</v>
      </c>
      <c r="F1065" s="11"/>
      <c r="G1065" s="11"/>
      <c r="H1065" s="11"/>
      <c r="I1065" s="11"/>
      <c r="J1065" s="11"/>
      <c r="K1065" s="11"/>
      <c r="L1065" s="11">
        <f>+D1065</f>
        <v>69000000</v>
      </c>
      <c r="M1065" s="12"/>
      <c r="N1065" s="12"/>
      <c r="P1065" s="55"/>
      <c r="Q1065" s="55"/>
      <c r="R1065" s="14"/>
      <c r="S1065" s="14"/>
    </row>
    <row r="1066" spans="2:19" ht="12.95" hidden="1" customHeight="1" x14ac:dyDescent="0.25">
      <c r="B1066" s="16">
        <v>43171.083333333336</v>
      </c>
      <c r="C1066" s="50" t="s">
        <v>1019</v>
      </c>
      <c r="D1066" s="34"/>
      <c r="E1066" s="37">
        <v>6000000</v>
      </c>
      <c r="F1066" s="37"/>
      <c r="G1066" s="37">
        <f t="shared" ref="G1066:G1077" si="183">+E1066</f>
        <v>6000000</v>
      </c>
      <c r="H1066" s="64"/>
      <c r="I1066" s="64">
        <v>157268.69</v>
      </c>
      <c r="J1066" s="64">
        <v>51352.56</v>
      </c>
      <c r="K1066" s="18">
        <f t="shared" ref="K1066:K1072" si="184">+G1066-H1066-I1066-J1066</f>
        <v>5791378.75</v>
      </c>
      <c r="L1066" s="19">
        <f t="shared" ref="L1066:L1077" si="185">+L1065-G1066</f>
        <v>63000000</v>
      </c>
      <c r="M1066" s="20"/>
      <c r="N1066" s="20"/>
      <c r="O1066" s="81"/>
      <c r="P1066" s="55"/>
      <c r="Q1066" s="55"/>
      <c r="R1066" s="14"/>
      <c r="S1066" s="14"/>
    </row>
    <row r="1067" spans="2:19" ht="12.95" hidden="1" customHeight="1" x14ac:dyDescent="0.25">
      <c r="B1067" s="16">
        <v>43203.083333333336</v>
      </c>
      <c r="C1067" s="50" t="s">
        <v>1020</v>
      </c>
      <c r="D1067" s="34"/>
      <c r="E1067" s="37">
        <v>6000000</v>
      </c>
      <c r="F1067" s="37"/>
      <c r="G1067" s="37">
        <f t="shared" si="183"/>
        <v>6000000</v>
      </c>
      <c r="H1067" s="64"/>
      <c r="I1067" s="64">
        <v>157268.69</v>
      </c>
      <c r="J1067" s="64">
        <v>51352.56</v>
      </c>
      <c r="K1067" s="18">
        <f t="shared" si="184"/>
        <v>5791378.75</v>
      </c>
      <c r="L1067" s="19">
        <f t="shared" si="185"/>
        <v>57000000</v>
      </c>
      <c r="M1067" s="20"/>
      <c r="N1067" s="20"/>
      <c r="O1067" s="81"/>
      <c r="P1067" s="55"/>
      <c r="Q1067" s="55"/>
      <c r="R1067" s="14"/>
      <c r="S1067" s="14"/>
    </row>
    <row r="1068" spans="2:19" ht="12.75" hidden="1" customHeight="1" x14ac:dyDescent="0.25">
      <c r="B1068" s="16">
        <v>43235</v>
      </c>
      <c r="C1068" s="50" t="s">
        <v>1021</v>
      </c>
      <c r="D1068" s="34"/>
      <c r="E1068" s="37">
        <v>6000000</v>
      </c>
      <c r="F1068" s="37"/>
      <c r="G1068" s="37">
        <f t="shared" si="183"/>
        <v>6000000</v>
      </c>
      <c r="H1068" s="64"/>
      <c r="I1068" s="64">
        <v>157268.69</v>
      </c>
      <c r="J1068" s="64">
        <v>51352.56</v>
      </c>
      <c r="K1068" s="18">
        <f t="shared" si="184"/>
        <v>5791378.75</v>
      </c>
      <c r="L1068" s="19">
        <f t="shared" si="185"/>
        <v>51000000</v>
      </c>
      <c r="M1068" s="20"/>
      <c r="N1068" s="20"/>
      <c r="O1068" s="81"/>
      <c r="P1068" s="55"/>
      <c r="Q1068" s="55"/>
      <c r="R1068" s="14"/>
      <c r="S1068" s="14"/>
    </row>
    <row r="1069" spans="2:19" ht="12.95" hidden="1" customHeight="1" x14ac:dyDescent="0.25">
      <c r="B1069" s="16">
        <v>43251.083333333336</v>
      </c>
      <c r="C1069" s="50" t="s">
        <v>1022</v>
      </c>
      <c r="D1069" s="34"/>
      <c r="E1069" s="37">
        <v>6000000</v>
      </c>
      <c r="F1069" s="37"/>
      <c r="G1069" s="37">
        <f t="shared" si="183"/>
        <v>6000000</v>
      </c>
      <c r="H1069" s="64"/>
      <c r="I1069" s="64">
        <v>157268.69</v>
      </c>
      <c r="J1069" s="64">
        <v>51352.56</v>
      </c>
      <c r="K1069" s="18">
        <f t="shared" si="184"/>
        <v>5791378.75</v>
      </c>
      <c r="L1069" s="19">
        <f t="shared" si="185"/>
        <v>45000000</v>
      </c>
      <c r="M1069" s="20"/>
      <c r="N1069" s="20"/>
      <c r="O1069" s="81"/>
      <c r="P1069" s="55"/>
      <c r="Q1069" s="55"/>
      <c r="R1069" s="14"/>
      <c r="S1069" s="14"/>
    </row>
    <row r="1070" spans="2:19" ht="12.95" hidden="1" customHeight="1" x14ac:dyDescent="0.25">
      <c r="B1070" s="16">
        <v>43280.083333333336</v>
      </c>
      <c r="C1070" s="50" t="s">
        <v>1023</v>
      </c>
      <c r="D1070" s="34"/>
      <c r="E1070" s="37">
        <v>6000000</v>
      </c>
      <c r="F1070" s="37"/>
      <c r="G1070" s="37">
        <f t="shared" si="183"/>
        <v>6000000</v>
      </c>
      <c r="H1070" s="64"/>
      <c r="I1070" s="64">
        <v>157268.69</v>
      </c>
      <c r="J1070" s="64">
        <v>51352.56</v>
      </c>
      <c r="K1070" s="18">
        <f t="shared" si="184"/>
        <v>5791378.75</v>
      </c>
      <c r="L1070" s="19">
        <f t="shared" si="185"/>
        <v>39000000</v>
      </c>
      <c r="M1070" s="20"/>
      <c r="N1070" s="20"/>
      <c r="O1070" s="81"/>
      <c r="P1070" s="55"/>
      <c r="Q1070" s="55"/>
      <c r="R1070" s="14"/>
      <c r="S1070" s="14"/>
    </row>
    <row r="1071" spans="2:19" ht="12.95" hidden="1" customHeight="1" x14ac:dyDescent="0.25">
      <c r="B1071" s="16">
        <v>43321.083333333336</v>
      </c>
      <c r="C1071" s="50" t="s">
        <v>1024</v>
      </c>
      <c r="D1071" s="34"/>
      <c r="E1071" s="37">
        <v>6000000</v>
      </c>
      <c r="F1071" s="37"/>
      <c r="G1071" s="37">
        <f t="shared" si="183"/>
        <v>6000000</v>
      </c>
      <c r="H1071" s="64"/>
      <c r="I1071" s="64">
        <v>157268.69</v>
      </c>
      <c r="J1071" s="64">
        <v>51352.56</v>
      </c>
      <c r="K1071" s="18">
        <f t="shared" si="184"/>
        <v>5791378.75</v>
      </c>
      <c r="L1071" s="19">
        <f t="shared" si="185"/>
        <v>33000000</v>
      </c>
      <c r="M1071" s="20"/>
      <c r="N1071" s="20"/>
      <c r="O1071" s="81"/>
      <c r="P1071" s="55"/>
      <c r="Q1071" s="55"/>
      <c r="R1071" s="14"/>
      <c r="S1071" s="14"/>
    </row>
    <row r="1072" spans="2:19" ht="12.95" hidden="1" customHeight="1" x14ac:dyDescent="0.25">
      <c r="B1072" s="16">
        <v>43340.083333333336</v>
      </c>
      <c r="C1072" s="50" t="s">
        <v>1025</v>
      </c>
      <c r="D1072" s="34"/>
      <c r="E1072" s="37">
        <v>6000000</v>
      </c>
      <c r="F1072" s="37"/>
      <c r="G1072" s="37">
        <f t="shared" si="183"/>
        <v>6000000</v>
      </c>
      <c r="H1072" s="64"/>
      <c r="I1072" s="64">
        <v>157268.69</v>
      </c>
      <c r="J1072" s="64">
        <v>51352.56</v>
      </c>
      <c r="K1072" s="18">
        <f t="shared" si="184"/>
        <v>5791378.75</v>
      </c>
      <c r="L1072" s="19">
        <f t="shared" si="185"/>
        <v>27000000</v>
      </c>
      <c r="M1072" s="20"/>
      <c r="N1072" s="20"/>
      <c r="O1072" s="81">
        <f>+L1077-'[1]ANEXO 7 - PPTO VIG 2018'!T39</f>
        <v>0</v>
      </c>
      <c r="P1072" s="55"/>
      <c r="Q1072" s="55"/>
      <c r="R1072" s="14"/>
      <c r="S1072" s="14"/>
    </row>
    <row r="1073" spans="2:19" ht="12.95" hidden="1" customHeight="1" x14ac:dyDescent="0.25">
      <c r="B1073" s="16">
        <v>43369.083333333336</v>
      </c>
      <c r="C1073" s="50" t="s">
        <v>1026</v>
      </c>
      <c r="D1073" s="34"/>
      <c r="E1073" s="37">
        <v>6000000</v>
      </c>
      <c r="F1073" s="37"/>
      <c r="G1073" s="37">
        <f t="shared" si="183"/>
        <v>6000000</v>
      </c>
      <c r="H1073" s="64"/>
      <c r="I1073" s="37">
        <v>157268.69</v>
      </c>
      <c r="J1073" s="64">
        <v>51352.56</v>
      </c>
      <c r="K1073" s="18">
        <f>+G1073-H1073-I1073-J1073</f>
        <v>5791378.75</v>
      </c>
      <c r="L1073" s="19">
        <f t="shared" si="185"/>
        <v>21000000</v>
      </c>
      <c r="M1073" s="20"/>
      <c r="N1073" s="20"/>
      <c r="O1073" s="81"/>
      <c r="P1073" s="55"/>
      <c r="Q1073" s="55"/>
      <c r="R1073" s="14"/>
      <c r="S1073" s="14"/>
    </row>
    <row r="1074" spans="2:19" ht="12.75" hidden="1" customHeight="1" x14ac:dyDescent="0.25">
      <c r="B1074" s="16">
        <v>43403.083333333336</v>
      </c>
      <c r="C1074" s="50" t="s">
        <v>1027</v>
      </c>
      <c r="D1074" s="34"/>
      <c r="E1074" s="37">
        <v>6000000</v>
      </c>
      <c r="F1074" s="37"/>
      <c r="G1074" s="37">
        <f t="shared" si="183"/>
        <v>6000000</v>
      </c>
      <c r="H1074" s="64"/>
      <c r="I1074" s="37">
        <v>157268.69</v>
      </c>
      <c r="J1074" s="64">
        <v>51352.56</v>
      </c>
      <c r="K1074" s="18">
        <f>+G1074-H1074-I1074-J1074</f>
        <v>5791378.75</v>
      </c>
      <c r="L1074" s="19">
        <f t="shared" si="185"/>
        <v>15000000</v>
      </c>
      <c r="M1074" s="20"/>
      <c r="N1074" s="20"/>
      <c r="O1074" s="81"/>
      <c r="P1074" s="55"/>
      <c r="Q1074" s="55"/>
      <c r="R1074" s="14"/>
      <c r="S1074" s="14"/>
    </row>
    <row r="1075" spans="2:19" ht="12.75" hidden="1" customHeight="1" x14ac:dyDescent="0.25">
      <c r="B1075" s="16">
        <v>43431.125</v>
      </c>
      <c r="C1075" s="50" t="s">
        <v>1028</v>
      </c>
      <c r="D1075" s="34"/>
      <c r="E1075" s="37">
        <v>6000000</v>
      </c>
      <c r="F1075" s="37"/>
      <c r="G1075" s="37">
        <f t="shared" si="183"/>
        <v>6000000</v>
      </c>
      <c r="H1075" s="64"/>
      <c r="I1075" s="37">
        <v>157268.69</v>
      </c>
      <c r="J1075" s="64">
        <v>51352.56</v>
      </c>
      <c r="K1075" s="18">
        <f>+G1075-H1075-I1075-J1075</f>
        <v>5791378.75</v>
      </c>
      <c r="L1075" s="19">
        <f t="shared" si="185"/>
        <v>9000000</v>
      </c>
      <c r="M1075" s="20"/>
      <c r="N1075" s="20"/>
      <c r="O1075" s="81"/>
      <c r="P1075" s="55"/>
      <c r="Q1075" s="55"/>
      <c r="R1075" s="14"/>
      <c r="S1075" s="14"/>
    </row>
    <row r="1076" spans="2:19" ht="12.75" hidden="1" customHeight="1" x14ac:dyDescent="0.25">
      <c r="B1076" s="16">
        <v>43473.125</v>
      </c>
      <c r="C1076" s="50" t="s">
        <v>1029</v>
      </c>
      <c r="D1076" s="34"/>
      <c r="E1076" s="37">
        <v>6000000</v>
      </c>
      <c r="F1076" s="37"/>
      <c r="G1076" s="37">
        <f t="shared" si="183"/>
        <v>6000000</v>
      </c>
      <c r="H1076" s="64"/>
      <c r="I1076" s="37">
        <v>137160.98000000001</v>
      </c>
      <c r="J1076" s="64">
        <v>51352.56</v>
      </c>
      <c r="K1076" s="18">
        <f>+G1076-H1076-I1076-J1076</f>
        <v>5811486.46</v>
      </c>
      <c r="L1076" s="19">
        <f t="shared" si="185"/>
        <v>3000000</v>
      </c>
      <c r="M1076" s="20"/>
      <c r="N1076" s="20"/>
      <c r="O1076" s="81"/>
      <c r="P1076" s="55"/>
      <c r="Q1076" s="55"/>
      <c r="R1076" s="14"/>
      <c r="S1076" s="14"/>
    </row>
    <row r="1077" spans="2:19" ht="12.75" hidden="1" customHeight="1" x14ac:dyDescent="0.25">
      <c r="B1077" s="16">
        <v>43488.125</v>
      </c>
      <c r="C1077" s="50" t="s">
        <v>1030</v>
      </c>
      <c r="D1077" s="34"/>
      <c r="E1077" s="37">
        <v>3000000</v>
      </c>
      <c r="F1077" s="37"/>
      <c r="G1077" s="37">
        <f t="shared" si="183"/>
        <v>3000000</v>
      </c>
      <c r="H1077" s="64"/>
      <c r="I1077" s="37">
        <v>509913.03</v>
      </c>
      <c r="J1077" s="64">
        <v>25676.28</v>
      </c>
      <c r="K1077" s="18">
        <f>+G1077-H1077-I1077-J1077</f>
        <v>2464410.69</v>
      </c>
      <c r="L1077" s="19">
        <f t="shared" si="185"/>
        <v>0</v>
      </c>
      <c r="M1077" s="20"/>
      <c r="N1077" s="20"/>
      <c r="O1077" s="81"/>
      <c r="P1077" s="55"/>
      <c r="Q1077" s="55"/>
      <c r="R1077" s="14"/>
      <c r="S1077" s="14"/>
    </row>
    <row r="1078" spans="2:19" ht="12.95" hidden="1" customHeight="1" x14ac:dyDescent="0.25">
      <c r="B1078" s="9" t="s">
        <v>1031</v>
      </c>
      <c r="C1078" s="10"/>
      <c r="D1078" s="11">
        <v>42000000</v>
      </c>
      <c r="E1078" s="11">
        <f>+D1078</f>
        <v>42000000</v>
      </c>
      <c r="F1078" s="11"/>
      <c r="G1078" s="11"/>
      <c r="H1078" s="11"/>
      <c r="I1078" s="11"/>
      <c r="J1078" s="11"/>
      <c r="K1078" s="11"/>
      <c r="L1078" s="11">
        <f>+D1078</f>
        <v>42000000</v>
      </c>
      <c r="M1078" s="12"/>
      <c r="N1078" s="12"/>
      <c r="P1078" s="55"/>
      <c r="Q1078" s="55"/>
      <c r="R1078" s="14"/>
      <c r="S1078" s="14"/>
    </row>
    <row r="1079" spans="2:19" ht="12.95" hidden="1" customHeight="1" x14ac:dyDescent="0.25">
      <c r="B1079" s="16">
        <v>43171.083333333336</v>
      </c>
      <c r="C1079" s="50" t="s">
        <v>1032</v>
      </c>
      <c r="D1079" s="34"/>
      <c r="E1079" s="37">
        <v>6000000</v>
      </c>
      <c r="F1079" s="37"/>
      <c r="G1079" s="37">
        <f t="shared" ref="G1079:G1085" si="186">+E1079</f>
        <v>6000000</v>
      </c>
      <c r="H1079" s="64"/>
      <c r="I1079" s="64">
        <v>71768.72</v>
      </c>
      <c r="J1079" s="64">
        <v>51352.56</v>
      </c>
      <c r="K1079" s="18">
        <f t="shared" ref="K1079:K1084" si="187">+G1079-H1079-I1079-J1079</f>
        <v>5876878.7200000007</v>
      </c>
      <c r="L1079" s="19">
        <f t="shared" ref="L1079:L1085" si="188">+L1078-G1079</f>
        <v>36000000</v>
      </c>
      <c r="M1079" s="20"/>
      <c r="N1079" s="20"/>
      <c r="O1079" s="81"/>
      <c r="P1079" s="55"/>
      <c r="Q1079" s="55"/>
      <c r="R1079" s="14"/>
      <c r="S1079" s="14"/>
    </row>
    <row r="1080" spans="2:19" ht="12.95" hidden="1" customHeight="1" x14ac:dyDescent="0.25">
      <c r="B1080" s="16">
        <v>43196.083333333336</v>
      </c>
      <c r="C1080" s="50" t="s">
        <v>1033</v>
      </c>
      <c r="D1080" s="34"/>
      <c r="E1080" s="37">
        <v>6000000</v>
      </c>
      <c r="F1080" s="37"/>
      <c r="G1080" s="37">
        <f t="shared" si="186"/>
        <v>6000000</v>
      </c>
      <c r="H1080" s="64"/>
      <c r="I1080" s="64">
        <v>71768.72</v>
      </c>
      <c r="J1080" s="64">
        <v>51352.56</v>
      </c>
      <c r="K1080" s="18">
        <f t="shared" si="187"/>
        <v>5876878.7200000007</v>
      </c>
      <c r="L1080" s="19">
        <f t="shared" si="188"/>
        <v>30000000</v>
      </c>
      <c r="M1080" s="20"/>
      <c r="N1080" s="20"/>
      <c r="O1080" s="81"/>
      <c r="P1080" s="55"/>
      <c r="Q1080" s="55"/>
      <c r="R1080" s="14"/>
      <c r="S1080" s="14"/>
    </row>
    <row r="1081" spans="2:19" ht="12.95" hidden="1" customHeight="1" x14ac:dyDescent="0.25">
      <c r="B1081" s="16">
        <v>43230</v>
      </c>
      <c r="C1081" s="50" t="s">
        <v>1034</v>
      </c>
      <c r="D1081" s="34"/>
      <c r="E1081" s="37">
        <v>6000000</v>
      </c>
      <c r="F1081" s="37"/>
      <c r="G1081" s="37">
        <f t="shared" si="186"/>
        <v>6000000</v>
      </c>
      <c r="H1081" s="64"/>
      <c r="I1081" s="64">
        <v>71768.72</v>
      </c>
      <c r="J1081" s="64">
        <v>51352.56</v>
      </c>
      <c r="K1081" s="18">
        <f t="shared" si="187"/>
        <v>5876878.7200000007</v>
      </c>
      <c r="L1081" s="19">
        <f t="shared" si="188"/>
        <v>24000000</v>
      </c>
      <c r="M1081" s="20"/>
      <c r="N1081" s="20"/>
      <c r="O1081" s="81"/>
      <c r="P1081" s="55"/>
      <c r="Q1081" s="55"/>
      <c r="R1081" s="14"/>
      <c r="S1081" s="14"/>
    </row>
    <row r="1082" spans="2:19" ht="12.95" hidden="1" customHeight="1" x14ac:dyDescent="0.25">
      <c r="B1082" s="16">
        <v>43263.083333333336</v>
      </c>
      <c r="C1082" s="50" t="s">
        <v>1035</v>
      </c>
      <c r="D1082" s="34"/>
      <c r="E1082" s="37">
        <v>6000000</v>
      </c>
      <c r="F1082" s="37"/>
      <c r="G1082" s="37">
        <f t="shared" si="186"/>
        <v>6000000</v>
      </c>
      <c r="H1082" s="64"/>
      <c r="I1082" s="64">
        <v>71768.72</v>
      </c>
      <c r="J1082" s="64">
        <v>51352.56</v>
      </c>
      <c r="K1082" s="18">
        <f t="shared" si="187"/>
        <v>5876878.7200000007</v>
      </c>
      <c r="L1082" s="19">
        <f t="shared" si="188"/>
        <v>18000000</v>
      </c>
      <c r="M1082" s="20"/>
      <c r="N1082" s="20"/>
      <c r="O1082" s="81"/>
      <c r="P1082" s="55"/>
      <c r="Q1082" s="55"/>
      <c r="R1082" s="14"/>
      <c r="S1082" s="14"/>
    </row>
    <row r="1083" spans="2:19" ht="12.95" hidden="1" customHeight="1" x14ac:dyDescent="0.25">
      <c r="B1083" s="16">
        <v>43287.083333333336</v>
      </c>
      <c r="C1083" s="50" t="s">
        <v>1036</v>
      </c>
      <c r="D1083" s="34"/>
      <c r="E1083" s="37">
        <v>6000000</v>
      </c>
      <c r="F1083" s="37"/>
      <c r="G1083" s="37">
        <f t="shared" si="186"/>
        <v>6000000</v>
      </c>
      <c r="H1083" s="64"/>
      <c r="I1083" s="64">
        <v>71768.72</v>
      </c>
      <c r="J1083" s="64">
        <v>51352.56</v>
      </c>
      <c r="K1083" s="18">
        <f t="shared" si="187"/>
        <v>5876878.7200000007</v>
      </c>
      <c r="L1083" s="19">
        <f t="shared" si="188"/>
        <v>12000000</v>
      </c>
      <c r="M1083" s="20"/>
      <c r="N1083" s="20"/>
      <c r="O1083" s="81"/>
      <c r="P1083" s="55"/>
      <c r="Q1083" s="55"/>
      <c r="R1083" s="14"/>
      <c r="S1083" s="14"/>
    </row>
    <row r="1084" spans="2:19" ht="12.95" hidden="1" customHeight="1" x14ac:dyDescent="0.25">
      <c r="B1084" s="16">
        <v>43320.083333333336</v>
      </c>
      <c r="C1084" s="50" t="s">
        <v>1037</v>
      </c>
      <c r="D1084" s="34"/>
      <c r="E1084" s="37">
        <v>6000000</v>
      </c>
      <c r="F1084" s="37"/>
      <c r="G1084" s="37">
        <f t="shared" si="186"/>
        <v>6000000</v>
      </c>
      <c r="H1084" s="64"/>
      <c r="I1084" s="64">
        <v>71768.72</v>
      </c>
      <c r="J1084" s="64">
        <v>51352.56</v>
      </c>
      <c r="K1084" s="18">
        <f t="shared" si="187"/>
        <v>5876878.7200000007</v>
      </c>
      <c r="L1084" s="19">
        <f t="shared" si="188"/>
        <v>6000000</v>
      </c>
      <c r="M1084" s="20"/>
      <c r="N1084" s="20"/>
      <c r="O1084" s="81">
        <f>+L1085-'[1]ANEXO 7 - PPTO VIG 2018'!T70</f>
        <v>0</v>
      </c>
      <c r="P1084" s="55"/>
      <c r="Q1084" s="55"/>
      <c r="R1084" s="14"/>
      <c r="S1084" s="14"/>
    </row>
    <row r="1085" spans="2:19" ht="12.95" hidden="1" customHeight="1" x14ac:dyDescent="0.25">
      <c r="B1085" s="16">
        <v>43355.083333333336</v>
      </c>
      <c r="C1085" s="50" t="s">
        <v>1038</v>
      </c>
      <c r="D1085" s="34"/>
      <c r="E1085" s="37">
        <v>6000000</v>
      </c>
      <c r="F1085" s="37"/>
      <c r="G1085" s="37">
        <f t="shared" si="186"/>
        <v>6000000</v>
      </c>
      <c r="H1085" s="64"/>
      <c r="I1085" s="37">
        <v>71768.72</v>
      </c>
      <c r="J1085" s="64">
        <v>51352.56</v>
      </c>
      <c r="K1085" s="18">
        <f>+G1085-H1085-I1085-J1085</f>
        <v>5876878.7200000007</v>
      </c>
      <c r="L1085" s="19">
        <f t="shared" si="188"/>
        <v>0</v>
      </c>
      <c r="M1085" s="20"/>
      <c r="N1085" s="20"/>
      <c r="O1085" s="81"/>
      <c r="P1085" s="55"/>
      <c r="Q1085" s="55"/>
      <c r="R1085" s="14"/>
      <c r="S1085" s="14"/>
    </row>
    <row r="1086" spans="2:19" ht="12.95" hidden="1" customHeight="1" x14ac:dyDescent="0.25">
      <c r="B1086" s="9" t="s">
        <v>1039</v>
      </c>
      <c r="C1086" s="10"/>
      <c r="D1086" s="11">
        <v>55000000</v>
      </c>
      <c r="E1086" s="11">
        <f>+D1086</f>
        <v>55000000</v>
      </c>
      <c r="F1086" s="11"/>
      <c r="G1086" s="11"/>
      <c r="H1086" s="11"/>
      <c r="I1086" s="11"/>
      <c r="J1086" s="11"/>
      <c r="K1086" s="11"/>
      <c r="L1086" s="11">
        <f>+D1086</f>
        <v>55000000</v>
      </c>
      <c r="M1086" s="12"/>
      <c r="N1086" s="12"/>
      <c r="P1086" s="55"/>
      <c r="Q1086" s="55"/>
      <c r="R1086" s="14"/>
      <c r="S1086" s="14"/>
    </row>
    <row r="1087" spans="2:19" ht="12.95" hidden="1" customHeight="1" x14ac:dyDescent="0.25">
      <c r="B1087" s="16">
        <v>43171.083333333336</v>
      </c>
      <c r="C1087" s="50" t="s">
        <v>1040</v>
      </c>
      <c r="D1087" s="34"/>
      <c r="E1087" s="37">
        <v>5000000</v>
      </c>
      <c r="F1087" s="37"/>
      <c r="G1087" s="37">
        <f>+E1087</f>
        <v>5000000</v>
      </c>
      <c r="H1087" s="64"/>
      <c r="I1087" s="64">
        <v>31312.959999999999</v>
      </c>
      <c r="J1087" s="64">
        <v>42793.8</v>
      </c>
      <c r="K1087" s="18">
        <f t="shared" ref="K1087:K1092" si="189">+G1087-H1087-I1087-J1087</f>
        <v>4925893.24</v>
      </c>
      <c r="L1087" s="19">
        <f t="shared" ref="L1087:L1097" si="190">+L1086-G1087</f>
        <v>50000000</v>
      </c>
      <c r="M1087" s="20"/>
      <c r="N1087" s="20"/>
      <c r="O1087" s="81"/>
      <c r="P1087" s="55"/>
      <c r="Q1087" s="55"/>
      <c r="R1087" s="14"/>
      <c r="S1087" s="14"/>
    </row>
    <row r="1088" spans="2:19" ht="12.75" hidden="1" customHeight="1" x14ac:dyDescent="0.25">
      <c r="B1088" s="16">
        <v>43210.083333333336</v>
      </c>
      <c r="C1088" s="50" t="s">
        <v>1041</v>
      </c>
      <c r="D1088" s="34"/>
      <c r="E1088" s="37">
        <v>5000000</v>
      </c>
      <c r="F1088" s="37"/>
      <c r="G1088" s="37">
        <v>5000000</v>
      </c>
      <c r="H1088" s="64"/>
      <c r="I1088" s="64">
        <v>31312.959999999999</v>
      </c>
      <c r="J1088" s="64">
        <v>42793.8</v>
      </c>
      <c r="K1088" s="18">
        <f t="shared" si="189"/>
        <v>4925893.24</v>
      </c>
      <c r="L1088" s="19">
        <f t="shared" si="190"/>
        <v>45000000</v>
      </c>
      <c r="M1088" s="20"/>
      <c r="N1088" s="20"/>
      <c r="O1088" s="81"/>
      <c r="P1088" s="55"/>
      <c r="Q1088" s="55"/>
      <c r="R1088" s="14"/>
      <c r="S1088" s="14"/>
    </row>
    <row r="1089" spans="2:19" ht="12.95" hidden="1" customHeight="1" x14ac:dyDescent="0.25">
      <c r="B1089" s="16">
        <v>43230</v>
      </c>
      <c r="C1089" s="50" t="s">
        <v>1042</v>
      </c>
      <c r="D1089" s="34"/>
      <c r="E1089" s="37">
        <v>5000000</v>
      </c>
      <c r="F1089" s="37"/>
      <c r="G1089" s="37">
        <v>5000000</v>
      </c>
      <c r="H1089" s="64"/>
      <c r="I1089" s="64">
        <v>31312.959999999999</v>
      </c>
      <c r="J1089" s="64">
        <v>42793.8</v>
      </c>
      <c r="K1089" s="18">
        <f t="shared" si="189"/>
        <v>4925893.24</v>
      </c>
      <c r="L1089" s="19">
        <f t="shared" si="190"/>
        <v>40000000</v>
      </c>
      <c r="M1089" s="20"/>
      <c r="N1089" s="20"/>
      <c r="O1089" s="81"/>
      <c r="P1089" s="55"/>
      <c r="Q1089" s="55"/>
      <c r="R1089" s="14"/>
      <c r="S1089" s="14"/>
    </row>
    <row r="1090" spans="2:19" ht="12.95" hidden="1" customHeight="1" x14ac:dyDescent="0.25">
      <c r="B1090" s="16">
        <v>43259.083333333336</v>
      </c>
      <c r="C1090" s="50" t="s">
        <v>1043</v>
      </c>
      <c r="D1090" s="34"/>
      <c r="E1090" s="37">
        <v>5000000</v>
      </c>
      <c r="F1090" s="37"/>
      <c r="G1090" s="37">
        <v>5000000</v>
      </c>
      <c r="H1090" s="64"/>
      <c r="I1090" s="64">
        <v>31312.959999999999</v>
      </c>
      <c r="J1090" s="64">
        <v>42793.8</v>
      </c>
      <c r="K1090" s="18">
        <f t="shared" si="189"/>
        <v>4925893.24</v>
      </c>
      <c r="L1090" s="19">
        <f t="shared" si="190"/>
        <v>35000000</v>
      </c>
      <c r="M1090" s="20"/>
      <c r="N1090" s="20"/>
      <c r="O1090" s="81"/>
      <c r="P1090" s="55"/>
      <c r="Q1090" s="55"/>
      <c r="R1090" s="14"/>
      <c r="S1090" s="14"/>
    </row>
    <row r="1091" spans="2:19" ht="12.95" hidden="1" customHeight="1" x14ac:dyDescent="0.25">
      <c r="B1091" s="16">
        <v>43290.083333333336</v>
      </c>
      <c r="C1091" s="50" t="s">
        <v>1044</v>
      </c>
      <c r="D1091" s="34"/>
      <c r="E1091" s="37">
        <v>5000000</v>
      </c>
      <c r="F1091" s="37"/>
      <c r="G1091" s="37">
        <v>5000000</v>
      </c>
      <c r="H1091" s="64"/>
      <c r="I1091" s="64">
        <v>31312.959999999999</v>
      </c>
      <c r="J1091" s="64">
        <v>42793.8</v>
      </c>
      <c r="K1091" s="18">
        <f t="shared" si="189"/>
        <v>4925893.24</v>
      </c>
      <c r="L1091" s="19">
        <f t="shared" si="190"/>
        <v>30000000</v>
      </c>
      <c r="M1091" s="20"/>
      <c r="N1091" s="20"/>
      <c r="O1091" s="81"/>
      <c r="P1091" s="55"/>
      <c r="Q1091" s="55"/>
      <c r="R1091" s="14"/>
      <c r="S1091" s="14"/>
    </row>
    <row r="1092" spans="2:19" ht="12.95" hidden="1" customHeight="1" x14ac:dyDescent="0.25">
      <c r="B1092" s="16">
        <v>43321.083333333336</v>
      </c>
      <c r="C1092" s="50" t="s">
        <v>1045</v>
      </c>
      <c r="D1092" s="34"/>
      <c r="E1092" s="37">
        <v>5000000</v>
      </c>
      <c r="F1092" s="37"/>
      <c r="G1092" s="37">
        <v>5000000</v>
      </c>
      <c r="H1092" s="64"/>
      <c r="I1092" s="64">
        <v>31312.959999999999</v>
      </c>
      <c r="J1092" s="64">
        <v>42793.8</v>
      </c>
      <c r="K1092" s="18">
        <f t="shared" si="189"/>
        <v>4925893.24</v>
      </c>
      <c r="L1092" s="19">
        <f t="shared" si="190"/>
        <v>25000000</v>
      </c>
      <c r="M1092" s="20"/>
      <c r="N1092" s="20"/>
      <c r="O1092" s="81">
        <f>+L1097-'[1]ANEXO 7 - PPTO VIG 2018'!T33</f>
        <v>0</v>
      </c>
      <c r="P1092" s="55"/>
      <c r="Q1092" s="55"/>
      <c r="R1092" s="14"/>
      <c r="S1092" s="14"/>
    </row>
    <row r="1093" spans="2:19" ht="12.95" hidden="1" customHeight="1" x14ac:dyDescent="0.25">
      <c r="B1093" s="16">
        <v>43349.083333333336</v>
      </c>
      <c r="C1093" s="50" t="s">
        <v>1046</v>
      </c>
      <c r="D1093" s="34"/>
      <c r="E1093" s="37">
        <v>5000000</v>
      </c>
      <c r="F1093" s="37"/>
      <c r="G1093" s="37">
        <v>5000000</v>
      </c>
      <c r="H1093" s="64"/>
      <c r="I1093" s="37">
        <v>31312.959999999999</v>
      </c>
      <c r="J1093" s="64">
        <v>42793.8</v>
      </c>
      <c r="K1093" s="18">
        <f>+G1093-H1093-I1093-J1093</f>
        <v>4925893.24</v>
      </c>
      <c r="L1093" s="19">
        <f t="shared" si="190"/>
        <v>20000000</v>
      </c>
      <c r="M1093" s="20"/>
      <c r="N1093" s="20"/>
      <c r="O1093" s="81"/>
      <c r="P1093" s="55"/>
      <c r="Q1093" s="55"/>
      <c r="R1093" s="14"/>
      <c r="S1093" s="14"/>
    </row>
    <row r="1094" spans="2:19" ht="12.95" hidden="1" customHeight="1" x14ac:dyDescent="0.25">
      <c r="B1094" s="16">
        <v>43389.083333333336</v>
      </c>
      <c r="C1094" s="50" t="s">
        <v>1047</v>
      </c>
      <c r="D1094" s="34"/>
      <c r="E1094" s="37">
        <v>5000000</v>
      </c>
      <c r="F1094" s="37"/>
      <c r="G1094" s="37">
        <v>5000000</v>
      </c>
      <c r="H1094" s="64"/>
      <c r="I1094" s="37">
        <v>31312.959999999999</v>
      </c>
      <c r="J1094" s="64">
        <v>42793.8</v>
      </c>
      <c r="K1094" s="18">
        <f>+G1094-H1094-I1094-J1094</f>
        <v>4925893.24</v>
      </c>
      <c r="L1094" s="19">
        <f t="shared" si="190"/>
        <v>15000000</v>
      </c>
      <c r="M1094" s="20"/>
      <c r="N1094" s="20"/>
      <c r="O1094" s="81"/>
      <c r="P1094" s="55"/>
      <c r="Q1094" s="55"/>
      <c r="R1094" s="14"/>
      <c r="S1094" s="14"/>
    </row>
    <row r="1095" spans="2:19" ht="12.95" hidden="1" customHeight="1" x14ac:dyDescent="0.25">
      <c r="B1095" s="16">
        <v>43418.125</v>
      </c>
      <c r="C1095" s="50" t="s">
        <v>1048</v>
      </c>
      <c r="D1095" s="34"/>
      <c r="E1095" s="37">
        <v>5000000</v>
      </c>
      <c r="F1095" s="37"/>
      <c r="G1095" s="37">
        <v>5000000</v>
      </c>
      <c r="H1095" s="64"/>
      <c r="I1095" s="37">
        <v>31312.959999999999</v>
      </c>
      <c r="J1095" s="64">
        <v>42793.8</v>
      </c>
      <c r="K1095" s="18">
        <f>+G1095-H1095-I1095-J1095</f>
        <v>4925893.24</v>
      </c>
      <c r="L1095" s="19">
        <f t="shared" si="190"/>
        <v>10000000</v>
      </c>
      <c r="M1095" s="20"/>
      <c r="N1095" s="20"/>
      <c r="O1095" s="81"/>
      <c r="P1095" s="55"/>
      <c r="Q1095" s="55"/>
      <c r="R1095" s="14"/>
      <c r="S1095" s="14"/>
    </row>
    <row r="1096" spans="2:19" ht="12.95" hidden="1" customHeight="1" x14ac:dyDescent="0.25">
      <c r="B1096" s="16">
        <v>43445.125</v>
      </c>
      <c r="C1096" s="50" t="s">
        <v>1049</v>
      </c>
      <c r="D1096" s="34"/>
      <c r="E1096" s="37">
        <v>5000000</v>
      </c>
      <c r="F1096" s="37"/>
      <c r="G1096" s="37">
        <v>5000000</v>
      </c>
      <c r="H1096" s="64"/>
      <c r="I1096" s="37">
        <v>31312.959999999999</v>
      </c>
      <c r="J1096" s="64">
        <v>42793.8</v>
      </c>
      <c r="K1096" s="18">
        <f>+G1096-H1096-I1096-J1096</f>
        <v>4925893.24</v>
      </c>
      <c r="L1096" s="19">
        <f t="shared" si="190"/>
        <v>5000000</v>
      </c>
      <c r="M1096" s="20"/>
      <c r="N1096" s="20"/>
      <c r="O1096" s="81"/>
      <c r="P1096" s="55"/>
      <c r="Q1096" s="55"/>
      <c r="R1096" s="14"/>
      <c r="S1096" s="14"/>
    </row>
    <row r="1097" spans="2:19" ht="12.95" hidden="1" customHeight="1" x14ac:dyDescent="0.25">
      <c r="B1097" s="16">
        <v>43476</v>
      </c>
      <c r="C1097" s="50" t="s">
        <v>1050</v>
      </c>
      <c r="D1097" s="34"/>
      <c r="E1097" s="37">
        <v>5000000</v>
      </c>
      <c r="F1097" s="37"/>
      <c r="G1097" s="37">
        <v>5000000</v>
      </c>
      <c r="H1097" s="64"/>
      <c r="I1097" s="37">
        <v>11205.26</v>
      </c>
      <c r="J1097" s="64">
        <v>42793.8</v>
      </c>
      <c r="K1097" s="18">
        <f>+G1097-H1097-I1097-J1097</f>
        <v>4946000.9400000004</v>
      </c>
      <c r="L1097" s="19">
        <f t="shared" si="190"/>
        <v>0</v>
      </c>
      <c r="M1097" s="20"/>
      <c r="N1097" s="20"/>
      <c r="O1097" s="81"/>
      <c r="P1097" s="55"/>
      <c r="Q1097" s="55"/>
      <c r="R1097" s="14"/>
      <c r="S1097" s="14"/>
    </row>
    <row r="1098" spans="2:19" ht="12.95" hidden="1" customHeight="1" x14ac:dyDescent="0.25">
      <c r="B1098" s="9" t="s">
        <v>1051</v>
      </c>
      <c r="C1098" s="10"/>
      <c r="D1098" s="11">
        <v>99000000</v>
      </c>
      <c r="E1098" s="11">
        <f>+D1098</f>
        <v>99000000</v>
      </c>
      <c r="F1098" s="11"/>
      <c r="G1098" s="11"/>
      <c r="H1098" s="11"/>
      <c r="I1098" s="11"/>
      <c r="J1098" s="11"/>
      <c r="K1098" s="11"/>
      <c r="L1098" s="11">
        <f>+D1098</f>
        <v>99000000</v>
      </c>
      <c r="M1098" s="12"/>
      <c r="N1098" s="12"/>
      <c r="P1098" s="55"/>
      <c r="Q1098" s="55"/>
      <c r="R1098" s="14"/>
      <c r="S1098" s="14"/>
    </row>
    <row r="1099" spans="2:19" ht="12.95" hidden="1" customHeight="1" x14ac:dyDescent="0.25">
      <c r="B1099" s="16">
        <v>43171.083333333336</v>
      </c>
      <c r="C1099" s="50" t="s">
        <v>1052</v>
      </c>
      <c r="D1099" s="34"/>
      <c r="E1099" s="37">
        <v>9000000</v>
      </c>
      <c r="F1099" s="37"/>
      <c r="G1099" s="37">
        <f>+E1099</f>
        <v>9000000</v>
      </c>
      <c r="H1099" s="64"/>
      <c r="I1099" s="64">
        <v>549720.48</v>
      </c>
      <c r="J1099" s="64">
        <v>77028.84</v>
      </c>
      <c r="K1099" s="18">
        <f t="shared" ref="K1099:K1104" si="191">+G1099-H1099-I1099-J1099</f>
        <v>8373250.6799999997</v>
      </c>
      <c r="L1099" s="19">
        <f t="shared" ref="L1099:L1109" si="192">+L1098-G1099</f>
        <v>90000000</v>
      </c>
      <c r="M1099" s="20"/>
      <c r="N1099" s="20"/>
      <c r="O1099" s="81"/>
      <c r="P1099" s="55"/>
      <c r="Q1099" s="55"/>
      <c r="R1099" s="14"/>
      <c r="S1099" s="14"/>
    </row>
    <row r="1100" spans="2:19" ht="12.95" hidden="1" customHeight="1" x14ac:dyDescent="0.25">
      <c r="B1100" s="16">
        <v>43208.083333333336</v>
      </c>
      <c r="C1100" s="50" t="s">
        <v>1053</v>
      </c>
      <c r="D1100" s="34"/>
      <c r="E1100" s="37">
        <v>9000000</v>
      </c>
      <c r="F1100" s="37"/>
      <c r="G1100" s="37">
        <v>9000000</v>
      </c>
      <c r="H1100" s="64"/>
      <c r="I1100" s="64">
        <v>487014.53</v>
      </c>
      <c r="J1100" s="64">
        <v>77028.84</v>
      </c>
      <c r="K1100" s="18">
        <f t="shared" si="191"/>
        <v>8435956.6300000008</v>
      </c>
      <c r="L1100" s="19">
        <f t="shared" si="192"/>
        <v>81000000</v>
      </c>
      <c r="M1100" s="20"/>
      <c r="N1100" s="20"/>
      <c r="O1100" s="81"/>
      <c r="P1100" s="55"/>
      <c r="Q1100" s="55"/>
      <c r="R1100" s="14"/>
      <c r="S1100" s="14"/>
    </row>
    <row r="1101" spans="2:19" ht="12.95" hidden="1" customHeight="1" x14ac:dyDescent="0.25">
      <c r="B1101" s="16">
        <v>43238.083333333336</v>
      </c>
      <c r="C1101" s="50" t="s">
        <v>1054</v>
      </c>
      <c r="D1101" s="34"/>
      <c r="E1101" s="37">
        <v>9000000</v>
      </c>
      <c r="F1101" s="37"/>
      <c r="G1101" s="37">
        <v>9000000</v>
      </c>
      <c r="H1101" s="64"/>
      <c r="I1101" s="64">
        <v>479454.39</v>
      </c>
      <c r="J1101" s="64">
        <v>77028.84</v>
      </c>
      <c r="K1101" s="18">
        <f t="shared" si="191"/>
        <v>8443516.7699999996</v>
      </c>
      <c r="L1101" s="19">
        <f t="shared" si="192"/>
        <v>72000000</v>
      </c>
      <c r="M1101" s="20"/>
      <c r="N1101" s="20"/>
      <c r="O1101" s="81"/>
      <c r="P1101" s="55"/>
      <c r="Q1101" s="55"/>
      <c r="R1101" s="14"/>
      <c r="S1101" s="14"/>
    </row>
    <row r="1102" spans="2:19" ht="12.95" hidden="1" customHeight="1" x14ac:dyDescent="0.25">
      <c r="B1102" s="16">
        <v>43265.083333333336</v>
      </c>
      <c r="C1102" s="50" t="s">
        <v>1055</v>
      </c>
      <c r="D1102" s="34"/>
      <c r="E1102" s="37">
        <v>9000000</v>
      </c>
      <c r="F1102" s="37"/>
      <c r="G1102" s="37">
        <v>9000000</v>
      </c>
      <c r="H1102" s="64"/>
      <c r="I1102" s="64">
        <v>609578.99</v>
      </c>
      <c r="J1102" s="64">
        <v>77028.84</v>
      </c>
      <c r="K1102" s="18">
        <f t="shared" si="191"/>
        <v>8313392.1699999999</v>
      </c>
      <c r="L1102" s="19">
        <f t="shared" si="192"/>
        <v>63000000</v>
      </c>
      <c r="M1102" s="20"/>
      <c r="N1102" s="20"/>
      <c r="O1102" s="81"/>
      <c r="P1102" s="55"/>
      <c r="Q1102" s="55"/>
      <c r="R1102" s="14"/>
      <c r="S1102" s="14"/>
    </row>
    <row r="1103" spans="2:19" ht="12.95" hidden="1" customHeight="1" x14ac:dyDescent="0.25">
      <c r="B1103" s="16">
        <v>43299.083333333336</v>
      </c>
      <c r="C1103" s="50" t="s">
        <v>1056</v>
      </c>
      <c r="D1103" s="34"/>
      <c r="E1103" s="37">
        <v>9000000</v>
      </c>
      <c r="F1103" s="37"/>
      <c r="G1103" s="37">
        <v>9000000</v>
      </c>
      <c r="H1103" s="64"/>
      <c r="I1103" s="64">
        <v>609578.99</v>
      </c>
      <c r="J1103" s="64">
        <v>77028.84</v>
      </c>
      <c r="K1103" s="18">
        <f t="shared" si="191"/>
        <v>8313392.1699999999</v>
      </c>
      <c r="L1103" s="19">
        <f t="shared" si="192"/>
        <v>54000000</v>
      </c>
      <c r="M1103" s="20"/>
      <c r="N1103" s="20"/>
      <c r="O1103" s="81"/>
      <c r="P1103" s="55"/>
      <c r="Q1103" s="55"/>
      <c r="R1103" s="14"/>
      <c r="S1103" s="14"/>
    </row>
    <row r="1104" spans="2:19" ht="12.95" hidden="1" customHeight="1" x14ac:dyDescent="0.25">
      <c r="B1104" s="16">
        <v>43339.083333333336</v>
      </c>
      <c r="C1104" s="50" t="s">
        <v>1057</v>
      </c>
      <c r="D1104" s="34"/>
      <c r="E1104" s="37">
        <v>9000000</v>
      </c>
      <c r="F1104" s="37"/>
      <c r="G1104" s="37">
        <v>9000000</v>
      </c>
      <c r="H1104" s="64"/>
      <c r="I1104" s="64">
        <v>609578.99</v>
      </c>
      <c r="J1104" s="64">
        <v>77028.84</v>
      </c>
      <c r="K1104" s="18">
        <f t="shared" si="191"/>
        <v>8313392.1699999999</v>
      </c>
      <c r="L1104" s="19">
        <f t="shared" si="192"/>
        <v>45000000</v>
      </c>
      <c r="M1104" s="20"/>
      <c r="N1104" s="20"/>
      <c r="O1104" s="81">
        <f>+L1109-'[1]ANEXO 7 - PPTO VIG 2018'!T35</f>
        <v>0</v>
      </c>
      <c r="P1104" s="55"/>
      <c r="Q1104" s="55"/>
      <c r="R1104" s="14"/>
      <c r="S1104" s="14"/>
    </row>
    <row r="1105" spans="2:19" ht="12.95" hidden="1" customHeight="1" x14ac:dyDescent="0.25">
      <c r="B1105" s="16">
        <v>43362.083333333336</v>
      </c>
      <c r="C1105" s="50" t="s">
        <v>1058</v>
      </c>
      <c r="D1105" s="34"/>
      <c r="E1105" s="37">
        <v>9000000</v>
      </c>
      <c r="F1105" s="37"/>
      <c r="G1105" s="37">
        <v>9000000</v>
      </c>
      <c r="H1105" s="64"/>
      <c r="I1105" s="37">
        <v>609578.99</v>
      </c>
      <c r="J1105" s="64">
        <v>77028.84</v>
      </c>
      <c r="K1105" s="18">
        <f>+G1105-H1105-I1105-J1105</f>
        <v>8313392.1699999999</v>
      </c>
      <c r="L1105" s="19">
        <f t="shared" si="192"/>
        <v>36000000</v>
      </c>
      <c r="M1105" s="20"/>
      <c r="N1105" s="20"/>
      <c r="O1105" s="81"/>
      <c r="P1105" s="55"/>
      <c r="Q1105" s="55"/>
      <c r="R1105" s="14"/>
      <c r="S1105" s="14"/>
    </row>
    <row r="1106" spans="2:19" ht="12.95" hidden="1" customHeight="1" x14ac:dyDescent="0.25">
      <c r="B1106" s="16">
        <v>43395.083333333336</v>
      </c>
      <c r="C1106" s="50" t="s">
        <v>1059</v>
      </c>
      <c r="D1106" s="34"/>
      <c r="E1106" s="37">
        <v>9000000</v>
      </c>
      <c r="F1106" s="37"/>
      <c r="G1106" s="37">
        <v>9000000</v>
      </c>
      <c r="H1106" s="64"/>
      <c r="I1106" s="37">
        <v>609599.98</v>
      </c>
      <c r="J1106" s="64">
        <v>77028.84</v>
      </c>
      <c r="K1106" s="18">
        <f>+G1106-H1106-I1106-J1106</f>
        <v>8313371.1799999997</v>
      </c>
      <c r="L1106" s="19">
        <f t="shared" si="192"/>
        <v>27000000</v>
      </c>
      <c r="M1106" s="20"/>
      <c r="N1106" s="20"/>
      <c r="O1106" s="81"/>
      <c r="P1106" s="55"/>
      <c r="Q1106" s="55"/>
      <c r="R1106" s="14"/>
      <c r="S1106" s="14"/>
    </row>
    <row r="1107" spans="2:19" ht="12.75" hidden="1" customHeight="1" x14ac:dyDescent="0.25">
      <c r="B1107" s="16">
        <v>43423.125</v>
      </c>
      <c r="C1107" s="50" t="s">
        <v>1060</v>
      </c>
      <c r="D1107" s="34"/>
      <c r="E1107" s="37">
        <v>9000000</v>
      </c>
      <c r="F1107" s="37"/>
      <c r="G1107" s="37">
        <v>9000000</v>
      </c>
      <c r="H1107" s="64"/>
      <c r="I1107" s="37">
        <v>609599.98</v>
      </c>
      <c r="J1107" s="64">
        <v>77028.84</v>
      </c>
      <c r="K1107" s="18">
        <f>+G1107-H1107-I1107-J1107</f>
        <v>8313371.1799999997</v>
      </c>
      <c r="L1107" s="19">
        <f t="shared" si="192"/>
        <v>18000000</v>
      </c>
      <c r="M1107" s="20"/>
      <c r="N1107" s="20"/>
      <c r="O1107" s="81"/>
      <c r="P1107" s="55"/>
      <c r="Q1107" s="55"/>
      <c r="R1107" s="14"/>
      <c r="S1107" s="14"/>
    </row>
    <row r="1108" spans="2:19" ht="12.95" hidden="1" customHeight="1" x14ac:dyDescent="0.25">
      <c r="B1108" s="16">
        <v>43454.125</v>
      </c>
      <c r="C1108" s="50" t="s">
        <v>1061</v>
      </c>
      <c r="D1108" s="34"/>
      <c r="E1108" s="37">
        <v>9000000</v>
      </c>
      <c r="F1108" s="37"/>
      <c r="G1108" s="37">
        <v>9000000</v>
      </c>
      <c r="H1108" s="64"/>
      <c r="I1108" s="37">
        <v>829007.99</v>
      </c>
      <c r="J1108" s="64">
        <v>86940</v>
      </c>
      <c r="K1108" s="18">
        <f>+G1108-H1108-I1108-J1108</f>
        <v>8084052.0099999998</v>
      </c>
      <c r="L1108" s="19">
        <f t="shared" si="192"/>
        <v>9000000</v>
      </c>
      <c r="M1108" s="20"/>
      <c r="N1108" s="20"/>
      <c r="O1108" s="81"/>
      <c r="P1108" s="55"/>
      <c r="Q1108" s="55"/>
      <c r="R1108" s="14"/>
      <c r="S1108" s="14"/>
    </row>
    <row r="1109" spans="2:19" ht="12.95" hidden="1" customHeight="1" x14ac:dyDescent="0.25">
      <c r="B1109" s="16">
        <v>43488.125</v>
      </c>
      <c r="C1109" s="50" t="s">
        <v>1062</v>
      </c>
      <c r="D1109" s="34"/>
      <c r="E1109" s="37">
        <v>9000000</v>
      </c>
      <c r="F1109" s="37"/>
      <c r="G1109" s="37">
        <v>9000000</v>
      </c>
      <c r="H1109" s="64"/>
      <c r="I1109" s="37">
        <v>573952.01</v>
      </c>
      <c r="J1109" s="64">
        <v>77028.84</v>
      </c>
      <c r="K1109" s="18">
        <f>+G1109-H1109-I1109-J1109</f>
        <v>8349019.1500000004</v>
      </c>
      <c r="L1109" s="19">
        <f t="shared" si="192"/>
        <v>0</v>
      </c>
      <c r="M1109" s="20"/>
      <c r="N1109" s="20"/>
      <c r="O1109" s="81"/>
      <c r="P1109" s="55"/>
      <c r="Q1109" s="55"/>
      <c r="R1109" s="14"/>
      <c r="S1109" s="14"/>
    </row>
    <row r="1110" spans="2:19" ht="12.95" hidden="1" customHeight="1" x14ac:dyDescent="0.25">
      <c r="B1110" s="9" t="s">
        <v>1063</v>
      </c>
      <c r="C1110" s="10"/>
      <c r="D1110" s="11">
        <v>29120000</v>
      </c>
      <c r="E1110" s="11">
        <f>+D1110</f>
        <v>29120000</v>
      </c>
      <c r="F1110" s="11"/>
      <c r="G1110" s="11"/>
      <c r="H1110" s="11"/>
      <c r="I1110" s="11"/>
      <c r="J1110" s="11"/>
      <c r="K1110" s="11"/>
      <c r="L1110" s="11">
        <f>+D1110</f>
        <v>29120000</v>
      </c>
      <c r="M1110" s="12"/>
      <c r="N1110" s="12"/>
      <c r="P1110" s="55"/>
      <c r="Q1110" s="55"/>
      <c r="R1110" s="14"/>
      <c r="S1110" s="14"/>
    </row>
    <row r="1111" spans="2:19" ht="12.95" hidden="1" customHeight="1" x14ac:dyDescent="0.25">
      <c r="B1111" s="16">
        <v>43171.083333333336</v>
      </c>
      <c r="C1111" s="50" t="s">
        <v>1064</v>
      </c>
      <c r="D1111" s="34"/>
      <c r="E1111" s="37">
        <v>4160000</v>
      </c>
      <c r="F1111" s="37"/>
      <c r="G1111" s="37">
        <f t="shared" ref="G1111:G1117" si="193">+E1111</f>
        <v>4160000</v>
      </c>
      <c r="H1111" s="64"/>
      <c r="I1111" s="64"/>
      <c r="J1111" s="64">
        <v>35604.44</v>
      </c>
      <c r="K1111" s="18">
        <f t="shared" ref="K1111:K1116" si="194">+G1111-H1111-I1111-J1111</f>
        <v>4124395.56</v>
      </c>
      <c r="L1111" s="19">
        <f t="shared" ref="L1111:L1117" si="195">+L1110-G1111</f>
        <v>24960000</v>
      </c>
      <c r="M1111" s="20"/>
      <c r="N1111" s="20"/>
      <c r="O1111" s="81"/>
      <c r="P1111" s="55"/>
      <c r="Q1111" s="55"/>
      <c r="R1111" s="14"/>
      <c r="S1111" s="14"/>
    </row>
    <row r="1112" spans="2:19" ht="12.95" hidden="1" customHeight="1" x14ac:dyDescent="0.25">
      <c r="B1112" s="16">
        <v>43208.083333333336</v>
      </c>
      <c r="C1112" s="50" t="s">
        <v>1065</v>
      </c>
      <c r="D1112" s="34"/>
      <c r="E1112" s="37">
        <v>4160000</v>
      </c>
      <c r="F1112" s="37"/>
      <c r="G1112" s="37">
        <f t="shared" si="193"/>
        <v>4160000</v>
      </c>
      <c r="H1112" s="64"/>
      <c r="I1112" s="64"/>
      <c r="J1112" s="64">
        <v>35604.44</v>
      </c>
      <c r="K1112" s="18">
        <f t="shared" si="194"/>
        <v>4124395.56</v>
      </c>
      <c r="L1112" s="19">
        <f t="shared" si="195"/>
        <v>20800000</v>
      </c>
      <c r="M1112" s="20"/>
      <c r="N1112" s="20"/>
      <c r="O1112" s="81"/>
      <c r="P1112" s="55"/>
      <c r="Q1112" s="55"/>
      <c r="R1112" s="14"/>
      <c r="S1112" s="14"/>
    </row>
    <row r="1113" spans="2:19" ht="12.95" hidden="1" customHeight="1" x14ac:dyDescent="0.25">
      <c r="B1113" s="16">
        <v>43238.083333333336</v>
      </c>
      <c r="C1113" s="50" t="s">
        <v>1066</v>
      </c>
      <c r="D1113" s="34"/>
      <c r="E1113" s="37">
        <v>4160000</v>
      </c>
      <c r="F1113" s="37"/>
      <c r="G1113" s="37">
        <f t="shared" si="193"/>
        <v>4160000</v>
      </c>
      <c r="H1113" s="64"/>
      <c r="I1113" s="64"/>
      <c r="J1113" s="64">
        <v>35604.44</v>
      </c>
      <c r="K1113" s="18">
        <f t="shared" si="194"/>
        <v>4124395.56</v>
      </c>
      <c r="L1113" s="19">
        <f t="shared" si="195"/>
        <v>16640000</v>
      </c>
      <c r="M1113" s="20"/>
      <c r="N1113" s="20"/>
      <c r="O1113" s="81"/>
      <c r="P1113" s="55"/>
      <c r="Q1113" s="55"/>
      <c r="R1113" s="14"/>
      <c r="S1113" s="14"/>
    </row>
    <row r="1114" spans="2:19" ht="12.95" hidden="1" customHeight="1" x14ac:dyDescent="0.25">
      <c r="B1114" s="16">
        <v>43287.083333333336</v>
      </c>
      <c r="C1114" s="50" t="s">
        <v>1067</v>
      </c>
      <c r="D1114" s="34"/>
      <c r="E1114" s="37">
        <v>4160000</v>
      </c>
      <c r="F1114" s="37"/>
      <c r="G1114" s="37">
        <f t="shared" si="193"/>
        <v>4160000</v>
      </c>
      <c r="H1114" s="64"/>
      <c r="I1114" s="64"/>
      <c r="J1114" s="64">
        <v>35604.44</v>
      </c>
      <c r="K1114" s="18">
        <f t="shared" si="194"/>
        <v>4124395.56</v>
      </c>
      <c r="L1114" s="19">
        <f t="shared" si="195"/>
        <v>12480000</v>
      </c>
      <c r="M1114" s="20"/>
      <c r="N1114" s="20"/>
      <c r="O1114" s="81"/>
      <c r="P1114" s="55"/>
      <c r="Q1114" s="55"/>
      <c r="R1114" s="14"/>
      <c r="S1114" s="14"/>
    </row>
    <row r="1115" spans="2:19" ht="12.95" hidden="1" customHeight="1" x14ac:dyDescent="0.25">
      <c r="B1115" s="16">
        <v>43304.083333333336</v>
      </c>
      <c r="C1115" s="50" t="s">
        <v>1068</v>
      </c>
      <c r="D1115" s="34"/>
      <c r="E1115" s="37">
        <v>4160000</v>
      </c>
      <c r="F1115" s="37"/>
      <c r="G1115" s="37">
        <f t="shared" si="193"/>
        <v>4160000</v>
      </c>
      <c r="H1115" s="64"/>
      <c r="I1115" s="64"/>
      <c r="J1115" s="64">
        <v>35604.44</v>
      </c>
      <c r="K1115" s="18">
        <f t="shared" si="194"/>
        <v>4124395.56</v>
      </c>
      <c r="L1115" s="19">
        <f t="shared" si="195"/>
        <v>8320000</v>
      </c>
      <c r="M1115" s="20"/>
      <c r="N1115" s="20"/>
      <c r="O1115" s="81">
        <f>+L1117-'[1]ANEXO 7 - PPTO VIG 2018'!T92</f>
        <v>0</v>
      </c>
      <c r="P1115" s="55"/>
      <c r="Q1115" s="55"/>
      <c r="R1115" s="14"/>
      <c r="S1115" s="14"/>
    </row>
    <row r="1116" spans="2:19" ht="12.95" hidden="1" customHeight="1" x14ac:dyDescent="0.25">
      <c r="B1116" s="16">
        <v>43320.083333333336</v>
      </c>
      <c r="C1116" s="50" t="s">
        <v>1069</v>
      </c>
      <c r="D1116" s="34"/>
      <c r="E1116" s="37">
        <v>4160000</v>
      </c>
      <c r="F1116" s="37"/>
      <c r="G1116" s="37">
        <f t="shared" si="193"/>
        <v>4160000</v>
      </c>
      <c r="H1116" s="64"/>
      <c r="I1116" s="64"/>
      <c r="J1116" s="64">
        <v>35604.44</v>
      </c>
      <c r="K1116" s="18">
        <f t="shared" si="194"/>
        <v>4124395.56</v>
      </c>
      <c r="L1116" s="19">
        <f t="shared" si="195"/>
        <v>4160000</v>
      </c>
      <c r="M1116" s="20"/>
      <c r="N1116" s="20"/>
      <c r="O1116" s="81"/>
      <c r="P1116" s="55"/>
      <c r="Q1116" s="55"/>
      <c r="R1116" s="14"/>
      <c r="S1116" s="14"/>
    </row>
    <row r="1117" spans="2:19" ht="12.95" hidden="1" customHeight="1" x14ac:dyDescent="0.25">
      <c r="B1117" s="16">
        <v>43350.083333333336</v>
      </c>
      <c r="C1117" s="50" t="s">
        <v>1070</v>
      </c>
      <c r="D1117" s="34"/>
      <c r="E1117" s="37">
        <v>4160000</v>
      </c>
      <c r="F1117" s="37"/>
      <c r="G1117" s="37">
        <f t="shared" si="193"/>
        <v>4160000</v>
      </c>
      <c r="H1117" s="64"/>
      <c r="I1117" s="37"/>
      <c r="J1117" s="64">
        <v>35604.44</v>
      </c>
      <c r="K1117" s="18">
        <f>+G1117-H1117-I1117-J1117</f>
        <v>4124395.56</v>
      </c>
      <c r="L1117" s="19">
        <f t="shared" si="195"/>
        <v>0</v>
      </c>
      <c r="M1117" s="20"/>
      <c r="N1117" s="20"/>
      <c r="O1117" s="81"/>
      <c r="P1117" s="55"/>
      <c r="Q1117" s="55"/>
      <c r="R1117" s="14"/>
      <c r="S1117" s="14"/>
    </row>
    <row r="1118" spans="2:19" ht="12.95" hidden="1" customHeight="1" x14ac:dyDescent="0.25">
      <c r="B1118" s="9" t="s">
        <v>1071</v>
      </c>
      <c r="C1118" s="10"/>
      <c r="D1118" s="11">
        <v>102960000</v>
      </c>
      <c r="E1118" s="11">
        <f>+D1118</f>
        <v>102960000</v>
      </c>
      <c r="F1118" s="11"/>
      <c r="G1118" s="11"/>
      <c r="H1118" s="11"/>
      <c r="I1118" s="11"/>
      <c r="J1118" s="11"/>
      <c r="K1118" s="11"/>
      <c r="L1118" s="11">
        <f>+D1118</f>
        <v>102960000</v>
      </c>
      <c r="M1118" s="12"/>
      <c r="N1118" s="12"/>
      <c r="P1118" s="55"/>
      <c r="Q1118" s="55"/>
      <c r="R1118" s="14"/>
      <c r="S1118" s="14"/>
    </row>
    <row r="1119" spans="2:19" ht="12.95" hidden="1" customHeight="1" x14ac:dyDescent="0.25">
      <c r="B1119" s="16">
        <v>43171.083333333336</v>
      </c>
      <c r="C1119" s="50" t="s">
        <v>1072</v>
      </c>
      <c r="D1119" s="34"/>
      <c r="E1119" s="37">
        <v>9360000</v>
      </c>
      <c r="F1119" s="37"/>
      <c r="G1119" s="37">
        <f t="shared" ref="G1119:G1129" si="196">+E1119</f>
        <v>9360000</v>
      </c>
      <c r="H1119" s="64"/>
      <c r="I1119" s="64">
        <v>479864.1</v>
      </c>
      <c r="J1119" s="64">
        <v>80109.990000000005</v>
      </c>
      <c r="K1119" s="18">
        <f t="shared" ref="K1119:K1124" si="197">+G1119-H1119-I1119-J1119</f>
        <v>8800025.9100000001</v>
      </c>
      <c r="L1119" s="19">
        <f t="shared" ref="L1119:L1129" si="198">+L1118-G1119</f>
        <v>93600000</v>
      </c>
      <c r="M1119" s="20"/>
      <c r="N1119" s="20"/>
      <c r="O1119" s="81"/>
      <c r="P1119" s="55"/>
      <c r="Q1119" s="55"/>
      <c r="R1119" s="14"/>
      <c r="S1119" s="14"/>
    </row>
    <row r="1120" spans="2:19" ht="12.95" hidden="1" customHeight="1" x14ac:dyDescent="0.25">
      <c r="B1120" s="16">
        <v>43208.083333333336</v>
      </c>
      <c r="C1120" s="50" t="s">
        <v>1073</v>
      </c>
      <c r="D1120" s="34"/>
      <c r="E1120" s="37">
        <v>9360000</v>
      </c>
      <c r="F1120" s="37"/>
      <c r="G1120" s="37">
        <f t="shared" si="196"/>
        <v>9360000</v>
      </c>
      <c r="H1120" s="64"/>
      <c r="I1120" s="64">
        <v>471991.21</v>
      </c>
      <c r="J1120" s="64">
        <v>80109.990000000005</v>
      </c>
      <c r="K1120" s="18">
        <f t="shared" si="197"/>
        <v>8807898.7999999989</v>
      </c>
      <c r="L1120" s="19">
        <f t="shared" si="198"/>
        <v>84240000</v>
      </c>
      <c r="M1120" s="20"/>
      <c r="N1120" s="20"/>
      <c r="O1120" s="81"/>
      <c r="P1120" s="55"/>
      <c r="Q1120" s="55"/>
      <c r="R1120" s="14"/>
      <c r="S1120" s="14"/>
    </row>
    <row r="1121" spans="2:19" ht="12.95" hidden="1" customHeight="1" x14ac:dyDescent="0.25">
      <c r="B1121" s="16">
        <v>43235</v>
      </c>
      <c r="C1121" s="50" t="s">
        <v>1074</v>
      </c>
      <c r="D1121" s="34"/>
      <c r="E1121" s="37">
        <v>9360000</v>
      </c>
      <c r="F1121" s="37"/>
      <c r="G1121" s="37">
        <f t="shared" si="196"/>
        <v>9360000</v>
      </c>
      <c r="H1121" s="64"/>
      <c r="I1121" s="64">
        <v>471991.21</v>
      </c>
      <c r="J1121" s="64">
        <v>80109.990000000005</v>
      </c>
      <c r="K1121" s="18">
        <f t="shared" si="197"/>
        <v>8807898.7999999989</v>
      </c>
      <c r="L1121" s="19">
        <f t="shared" si="198"/>
        <v>74880000</v>
      </c>
      <c r="M1121" s="20"/>
      <c r="N1121" s="20"/>
      <c r="O1121" s="81"/>
      <c r="P1121" s="55"/>
      <c r="Q1121" s="55"/>
      <c r="R1121" s="14"/>
      <c r="S1121" s="14"/>
    </row>
    <row r="1122" spans="2:19" ht="12.95" hidden="1" customHeight="1" x14ac:dyDescent="0.25">
      <c r="B1122" s="16">
        <v>43270.083333333336</v>
      </c>
      <c r="C1122" s="50" t="s">
        <v>1075</v>
      </c>
      <c r="D1122" s="34"/>
      <c r="E1122" s="37">
        <v>9360000</v>
      </c>
      <c r="F1122" s="37"/>
      <c r="G1122" s="37">
        <f t="shared" si="196"/>
        <v>9360000</v>
      </c>
      <c r="H1122" s="64"/>
      <c r="I1122" s="64">
        <v>471991.21</v>
      </c>
      <c r="J1122" s="64">
        <v>80109.990000000005</v>
      </c>
      <c r="K1122" s="18">
        <f t="shared" si="197"/>
        <v>8807898.7999999989</v>
      </c>
      <c r="L1122" s="19">
        <f t="shared" si="198"/>
        <v>65520000</v>
      </c>
      <c r="M1122" s="20"/>
      <c r="N1122" s="20"/>
      <c r="O1122" s="81"/>
      <c r="P1122" s="55"/>
      <c r="Q1122" s="55"/>
      <c r="R1122" s="14"/>
      <c r="S1122" s="14"/>
    </row>
    <row r="1123" spans="2:19" ht="12.95" hidden="1" customHeight="1" x14ac:dyDescent="0.25">
      <c r="B1123" s="16">
        <v>43297.083333333336</v>
      </c>
      <c r="C1123" s="50" t="s">
        <v>1076</v>
      </c>
      <c r="D1123" s="34"/>
      <c r="E1123" s="37">
        <v>9360000</v>
      </c>
      <c r="F1123" s="37"/>
      <c r="G1123" s="37">
        <f t="shared" si="196"/>
        <v>9360000</v>
      </c>
      <c r="H1123" s="64"/>
      <c r="I1123" s="64">
        <v>471991.21</v>
      </c>
      <c r="J1123" s="64">
        <v>80109.990000000005</v>
      </c>
      <c r="K1123" s="18">
        <f t="shared" si="197"/>
        <v>8807898.7999999989</v>
      </c>
      <c r="L1123" s="19">
        <f t="shared" si="198"/>
        <v>56160000</v>
      </c>
      <c r="M1123" s="20"/>
      <c r="N1123" s="20"/>
      <c r="O1123" s="81"/>
      <c r="P1123" s="55"/>
      <c r="Q1123" s="55"/>
      <c r="R1123" s="14"/>
      <c r="S1123" s="14"/>
    </row>
    <row r="1124" spans="2:19" ht="12.75" hidden="1" customHeight="1" x14ac:dyDescent="0.25">
      <c r="B1124" s="16">
        <v>43339.083333333336</v>
      </c>
      <c r="C1124" s="50" t="s">
        <v>1077</v>
      </c>
      <c r="D1124" s="34"/>
      <c r="E1124" s="37">
        <v>9360000</v>
      </c>
      <c r="F1124" s="37"/>
      <c r="G1124" s="37">
        <f t="shared" si="196"/>
        <v>9360000</v>
      </c>
      <c r="H1124" s="64"/>
      <c r="I1124" s="64">
        <v>471991.21</v>
      </c>
      <c r="J1124" s="64">
        <v>80109.990000000005</v>
      </c>
      <c r="K1124" s="18">
        <f t="shared" si="197"/>
        <v>8807898.7999999989</v>
      </c>
      <c r="L1124" s="19">
        <f t="shared" si="198"/>
        <v>46800000</v>
      </c>
      <c r="M1124" s="20"/>
      <c r="N1124" s="20"/>
      <c r="O1124" s="81">
        <f>+L1129-'[1]ANEXO 7 - PPTO VIG 2018'!T32</f>
        <v>0</v>
      </c>
      <c r="P1124" s="55"/>
      <c r="Q1124" s="55"/>
      <c r="R1124" s="14"/>
      <c r="S1124" s="14"/>
    </row>
    <row r="1125" spans="2:19" ht="12.75" hidden="1" customHeight="1" x14ac:dyDescent="0.25">
      <c r="B1125" s="16">
        <v>43363.083333333336</v>
      </c>
      <c r="C1125" s="50" t="s">
        <v>1078</v>
      </c>
      <c r="D1125" s="34"/>
      <c r="E1125" s="37">
        <v>9360000</v>
      </c>
      <c r="F1125" s="37"/>
      <c r="G1125" s="37">
        <f t="shared" si="196"/>
        <v>9360000</v>
      </c>
      <c r="H1125" s="64"/>
      <c r="I1125" s="37">
        <v>471991.21</v>
      </c>
      <c r="J1125" s="64">
        <v>80109.990000000005</v>
      </c>
      <c r="K1125" s="18">
        <f>+G1125-H1125-I1125-J1125</f>
        <v>8807898.7999999989</v>
      </c>
      <c r="L1125" s="19">
        <f t="shared" si="198"/>
        <v>37440000</v>
      </c>
      <c r="M1125" s="20"/>
      <c r="N1125" s="20"/>
      <c r="O1125" s="81"/>
      <c r="P1125" s="55"/>
      <c r="Q1125" s="55"/>
      <c r="R1125" s="14"/>
      <c r="S1125" s="14"/>
    </row>
    <row r="1126" spans="2:19" ht="12.75" hidden="1" customHeight="1" x14ac:dyDescent="0.25">
      <c r="B1126" s="16">
        <v>43412.125</v>
      </c>
      <c r="C1126" s="50" t="s">
        <v>1079</v>
      </c>
      <c r="D1126" s="34"/>
      <c r="E1126" s="37">
        <v>9360000</v>
      </c>
      <c r="F1126" s="37"/>
      <c r="G1126" s="37">
        <f t="shared" si="196"/>
        <v>9360000</v>
      </c>
      <c r="H1126" s="64"/>
      <c r="I1126" s="37">
        <v>471991.21</v>
      </c>
      <c r="J1126" s="64">
        <v>80109.990000000005</v>
      </c>
      <c r="K1126" s="18">
        <f>+G1126-H1126-I1126-J1126</f>
        <v>8807898.7999999989</v>
      </c>
      <c r="L1126" s="19">
        <f t="shared" si="198"/>
        <v>28080000</v>
      </c>
      <c r="M1126" s="20"/>
      <c r="N1126" s="20"/>
      <c r="O1126" s="81"/>
      <c r="P1126" s="55"/>
      <c r="Q1126" s="55"/>
      <c r="R1126" s="14"/>
      <c r="S1126" s="14"/>
    </row>
    <row r="1127" spans="2:19" ht="12.75" hidden="1" customHeight="1" x14ac:dyDescent="0.25">
      <c r="B1127" s="16">
        <v>43437.125</v>
      </c>
      <c r="C1127" s="50" t="s">
        <v>1080</v>
      </c>
      <c r="D1127" s="34"/>
      <c r="E1127" s="37">
        <v>9360000</v>
      </c>
      <c r="F1127" s="37"/>
      <c r="G1127" s="37">
        <f t="shared" si="196"/>
        <v>9360000</v>
      </c>
      <c r="H1127" s="64"/>
      <c r="I1127" s="37">
        <v>471991.21</v>
      </c>
      <c r="J1127" s="64">
        <v>80109.990000000005</v>
      </c>
      <c r="K1127" s="18">
        <f>+G1127-H1127-I1127-J1127</f>
        <v>8807898.7999999989</v>
      </c>
      <c r="L1127" s="19">
        <f t="shared" si="198"/>
        <v>18720000</v>
      </c>
      <c r="M1127" s="20"/>
      <c r="N1127" s="20"/>
      <c r="O1127" s="81"/>
      <c r="P1127" s="55"/>
      <c r="Q1127" s="55"/>
      <c r="R1127" s="14"/>
      <c r="S1127" s="14"/>
    </row>
    <row r="1128" spans="2:19" ht="12.75" hidden="1" customHeight="1" x14ac:dyDescent="0.25">
      <c r="B1128" s="16">
        <v>43467.125</v>
      </c>
      <c r="C1128" s="50" t="s">
        <v>1081</v>
      </c>
      <c r="D1128" s="34"/>
      <c r="E1128" s="37">
        <v>9360000</v>
      </c>
      <c r="F1128" s="37"/>
      <c r="G1128" s="37">
        <f t="shared" si="196"/>
        <v>9360000</v>
      </c>
      <c r="H1128" s="64"/>
      <c r="I1128" s="37">
        <v>471991.21</v>
      </c>
      <c r="J1128" s="64">
        <v>80109.990000000005</v>
      </c>
      <c r="K1128" s="18">
        <f>+G1128-H1128-I1128-J1128</f>
        <v>8807898.7999999989</v>
      </c>
      <c r="L1128" s="19">
        <f t="shared" si="198"/>
        <v>9360000</v>
      </c>
      <c r="M1128" s="20"/>
      <c r="N1128" s="20"/>
      <c r="O1128" s="81"/>
      <c r="P1128" s="55"/>
      <c r="Q1128" s="55"/>
      <c r="R1128" s="14"/>
      <c r="S1128" s="14"/>
    </row>
    <row r="1129" spans="2:19" ht="12.75" hidden="1" customHeight="1" x14ac:dyDescent="0.25">
      <c r="B1129" s="16">
        <v>43488.125</v>
      </c>
      <c r="C1129" s="50" t="s">
        <v>1082</v>
      </c>
      <c r="D1129" s="34"/>
      <c r="E1129" s="37">
        <v>9360000</v>
      </c>
      <c r="F1129" s="37"/>
      <c r="G1129" s="37">
        <f t="shared" si="196"/>
        <v>9360000</v>
      </c>
      <c r="H1129" s="64"/>
      <c r="I1129" s="37">
        <v>672399.98</v>
      </c>
      <c r="J1129" s="64">
        <v>80109.990000000005</v>
      </c>
      <c r="K1129" s="18">
        <f>+G1129-H1129-I1129-J1129</f>
        <v>8607490.0299999993</v>
      </c>
      <c r="L1129" s="19">
        <f t="shared" si="198"/>
        <v>0</v>
      </c>
      <c r="M1129" s="20"/>
      <c r="N1129" s="20"/>
      <c r="O1129" s="81"/>
      <c r="P1129" s="55"/>
      <c r="Q1129" s="55"/>
      <c r="R1129" s="14"/>
      <c r="S1129" s="14"/>
    </row>
    <row r="1130" spans="2:19" ht="12.95" hidden="1" customHeight="1" x14ac:dyDescent="0.25">
      <c r="B1130" s="9" t="s">
        <v>1083</v>
      </c>
      <c r="C1130" s="10"/>
      <c r="D1130" s="11">
        <v>139000000</v>
      </c>
      <c r="E1130" s="11">
        <f>+D1130</f>
        <v>139000000</v>
      </c>
      <c r="F1130" s="11"/>
      <c r="G1130" s="11"/>
      <c r="H1130" s="11"/>
      <c r="I1130" s="11"/>
      <c r="J1130" s="11"/>
      <c r="K1130" s="11"/>
      <c r="L1130" s="11">
        <f>+D1130</f>
        <v>139000000</v>
      </c>
      <c r="M1130" s="12"/>
      <c r="N1130" s="12"/>
      <c r="P1130" s="55"/>
      <c r="Q1130" s="55"/>
      <c r="R1130" s="14"/>
      <c r="S1130" s="14"/>
    </row>
    <row r="1131" spans="2:19" ht="12.95" hidden="1" customHeight="1" x14ac:dyDescent="0.25">
      <c r="B1131" s="16">
        <v>43173.083333333336</v>
      </c>
      <c r="C1131" s="50" t="s">
        <v>1084</v>
      </c>
      <c r="D1131" s="34"/>
      <c r="E1131" s="37">
        <v>9000000</v>
      </c>
      <c r="F1131" s="37"/>
      <c r="G1131" s="37">
        <f t="shared" ref="G1131:G1149" si="199">+E1131</f>
        <v>9000000</v>
      </c>
      <c r="H1131" s="64"/>
      <c r="I1131" s="64">
        <v>413040.01</v>
      </c>
      <c r="J1131" s="64">
        <v>77028.84</v>
      </c>
      <c r="K1131" s="18">
        <f t="shared" ref="K1131:K1149" si="200">+G1131-H1131-I1131-J1131</f>
        <v>8509931.1500000004</v>
      </c>
      <c r="L1131" s="19">
        <f>+L1130-G1131</f>
        <v>130000000</v>
      </c>
      <c r="M1131" s="20"/>
      <c r="N1131" s="20"/>
      <c r="O1131" s="81"/>
      <c r="P1131" s="55"/>
      <c r="Q1131" s="55"/>
      <c r="R1131" s="14"/>
      <c r="S1131" s="14"/>
    </row>
    <row r="1132" spans="2:19" ht="12.95" hidden="1" customHeight="1" x14ac:dyDescent="0.25">
      <c r="B1132" s="16">
        <v>43187.083333333336</v>
      </c>
      <c r="C1132" s="50" t="s">
        <v>1085</v>
      </c>
      <c r="D1132" s="34"/>
      <c r="E1132" s="37">
        <v>462385</v>
      </c>
      <c r="F1132" s="37"/>
      <c r="G1132" s="37">
        <f t="shared" si="199"/>
        <v>462385</v>
      </c>
      <c r="H1132" s="64"/>
      <c r="I1132" s="64">
        <v>0</v>
      </c>
      <c r="J1132" s="64">
        <v>0</v>
      </c>
      <c r="K1132" s="18">
        <f t="shared" si="200"/>
        <v>462385</v>
      </c>
      <c r="L1132" s="19">
        <f>+L1131-G1132</f>
        <v>129537615</v>
      </c>
      <c r="M1132" s="20"/>
      <c r="N1132" s="20"/>
      <c r="O1132" s="81"/>
      <c r="P1132" s="55"/>
      <c r="Q1132" s="55"/>
      <c r="R1132" s="14"/>
      <c r="S1132" s="14"/>
    </row>
    <row r="1133" spans="2:19" ht="12.95" hidden="1" customHeight="1" x14ac:dyDescent="0.25">
      <c r="B1133" s="16">
        <v>43202.083333333336</v>
      </c>
      <c r="C1133" s="50" t="s">
        <v>1086</v>
      </c>
      <c r="D1133" s="34"/>
      <c r="E1133" s="37">
        <v>1814032</v>
      </c>
      <c r="F1133" s="37"/>
      <c r="G1133" s="37">
        <f t="shared" si="199"/>
        <v>1814032</v>
      </c>
      <c r="H1133" s="64"/>
      <c r="I1133" s="64">
        <v>0</v>
      </c>
      <c r="J1133" s="64">
        <v>0</v>
      </c>
      <c r="K1133" s="18">
        <f t="shared" si="200"/>
        <v>1814032</v>
      </c>
      <c r="L1133" s="19">
        <f>+L1132-G1133</f>
        <v>127723583</v>
      </c>
      <c r="M1133" s="20"/>
      <c r="N1133" s="20"/>
      <c r="O1133" s="81"/>
      <c r="P1133" s="55"/>
      <c r="Q1133" s="55"/>
      <c r="R1133" s="14"/>
      <c r="S1133" s="14"/>
    </row>
    <row r="1134" spans="2:19" ht="12.95" hidden="1" customHeight="1" x14ac:dyDescent="0.25">
      <c r="B1134" s="16">
        <v>43202.083333333336</v>
      </c>
      <c r="C1134" s="50" t="s">
        <v>1087</v>
      </c>
      <c r="D1134" s="34"/>
      <c r="E1134" s="37">
        <v>9000000</v>
      </c>
      <c r="F1134" s="37"/>
      <c r="G1134" s="37">
        <f t="shared" si="199"/>
        <v>9000000</v>
      </c>
      <c r="H1134" s="64"/>
      <c r="I1134" s="64">
        <v>413040.01</v>
      </c>
      <c r="J1134" s="64">
        <v>77028.84</v>
      </c>
      <c r="K1134" s="18">
        <f t="shared" si="200"/>
        <v>8509931.1500000004</v>
      </c>
      <c r="L1134" s="19">
        <f>+L1133-G1134</f>
        <v>118723583</v>
      </c>
      <c r="M1134" s="20"/>
      <c r="N1134" s="20"/>
      <c r="O1134" s="81"/>
      <c r="P1134" s="55"/>
      <c r="Q1134" s="55"/>
      <c r="R1134" s="14"/>
      <c r="S1134" s="14"/>
    </row>
    <row r="1135" spans="2:19" ht="12.95" hidden="1" customHeight="1" x14ac:dyDescent="0.25">
      <c r="B1135" s="16">
        <v>43222.083333333336</v>
      </c>
      <c r="C1135" s="50" t="s">
        <v>1088</v>
      </c>
      <c r="D1135" s="34"/>
      <c r="E1135" s="37">
        <v>1166532</v>
      </c>
      <c r="F1135" s="37"/>
      <c r="G1135" s="37">
        <f t="shared" si="199"/>
        <v>1166532</v>
      </c>
      <c r="H1135" s="64"/>
      <c r="I1135" s="64"/>
      <c r="J1135" s="64"/>
      <c r="K1135" s="18">
        <f t="shared" si="200"/>
        <v>1166532</v>
      </c>
      <c r="L1135" s="19">
        <f>+L1134-G1135</f>
        <v>117557051</v>
      </c>
      <c r="M1135" s="20"/>
      <c r="N1135" s="20"/>
      <c r="O1135" s="81"/>
      <c r="P1135" s="55"/>
      <c r="Q1135" s="55"/>
      <c r="R1135" s="14"/>
      <c r="S1135" s="14"/>
    </row>
    <row r="1136" spans="2:19" ht="12.95" hidden="1" customHeight="1" x14ac:dyDescent="0.25">
      <c r="B1136" s="16">
        <v>43222.083333333336</v>
      </c>
      <c r="C1136" s="50" t="s">
        <v>1089</v>
      </c>
      <c r="D1136" s="34"/>
      <c r="E1136" s="37">
        <v>9000000</v>
      </c>
      <c r="F1136" s="37"/>
      <c r="G1136" s="37">
        <f t="shared" si="199"/>
        <v>9000000</v>
      </c>
      <c r="H1136" s="64"/>
      <c r="I1136" s="64">
        <v>413040.01</v>
      </c>
      <c r="J1136" s="64">
        <v>77028.84</v>
      </c>
      <c r="K1136" s="18">
        <f t="shared" si="200"/>
        <v>8509931.1500000004</v>
      </c>
      <c r="L1136" s="19">
        <f t="shared" ref="L1136:L1147" si="201">+L1135-G1136</f>
        <v>108557051</v>
      </c>
      <c r="M1136" s="20"/>
      <c r="N1136" s="20"/>
      <c r="O1136" s="81"/>
      <c r="P1136" s="55"/>
      <c r="Q1136" s="55"/>
      <c r="R1136" s="14"/>
      <c r="S1136" s="14"/>
    </row>
    <row r="1137" spans="2:19" ht="12.95" hidden="1" customHeight="1" x14ac:dyDescent="0.25">
      <c r="B1137" s="16">
        <v>43249.083333333336</v>
      </c>
      <c r="C1137" s="50" t="s">
        <v>1090</v>
      </c>
      <c r="D1137" s="34"/>
      <c r="E1137" s="37">
        <v>2959168</v>
      </c>
      <c r="F1137" s="37"/>
      <c r="G1137" s="37">
        <f t="shared" si="199"/>
        <v>2959168</v>
      </c>
      <c r="H1137" s="64"/>
      <c r="I1137" s="64"/>
      <c r="J1137" s="64"/>
      <c r="K1137" s="18">
        <f t="shared" si="200"/>
        <v>2959168</v>
      </c>
      <c r="L1137" s="19">
        <f t="shared" si="201"/>
        <v>105597883</v>
      </c>
      <c r="M1137" s="20"/>
      <c r="N1137" s="20"/>
      <c r="O1137" s="81"/>
      <c r="P1137" s="55"/>
      <c r="Q1137" s="55"/>
      <c r="R1137" s="14"/>
      <c r="S1137" s="14"/>
    </row>
    <row r="1138" spans="2:19" ht="12.95" hidden="1" customHeight="1" x14ac:dyDescent="0.25">
      <c r="B1138" s="16">
        <v>43251.083333333336</v>
      </c>
      <c r="C1138" s="50" t="s">
        <v>1091</v>
      </c>
      <c r="D1138" s="34"/>
      <c r="E1138" s="37">
        <v>9000000</v>
      </c>
      <c r="F1138" s="37"/>
      <c r="G1138" s="37">
        <f t="shared" si="199"/>
        <v>9000000</v>
      </c>
      <c r="H1138" s="64"/>
      <c r="I1138" s="64">
        <v>413040.01</v>
      </c>
      <c r="J1138" s="64">
        <v>77028.84</v>
      </c>
      <c r="K1138" s="18">
        <f t="shared" si="200"/>
        <v>8509931.1500000004</v>
      </c>
      <c r="L1138" s="19">
        <f t="shared" si="201"/>
        <v>96597883</v>
      </c>
      <c r="M1138" s="20"/>
      <c r="N1138" s="20"/>
      <c r="O1138" s="81"/>
      <c r="P1138" s="55"/>
      <c r="Q1138" s="55"/>
      <c r="R1138" s="14"/>
      <c r="S1138" s="14"/>
    </row>
    <row r="1139" spans="2:19" ht="12.95" hidden="1" customHeight="1" x14ac:dyDescent="0.25">
      <c r="B1139" s="16">
        <v>43280.083333333336</v>
      </c>
      <c r="C1139" s="50" t="s">
        <v>1092</v>
      </c>
      <c r="D1139" s="34"/>
      <c r="E1139" s="37">
        <v>2182714</v>
      </c>
      <c r="F1139" s="37"/>
      <c r="G1139" s="37">
        <f t="shared" si="199"/>
        <v>2182714</v>
      </c>
      <c r="H1139" s="64"/>
      <c r="I1139" s="64"/>
      <c r="J1139" s="64"/>
      <c r="K1139" s="18">
        <f t="shared" si="200"/>
        <v>2182714</v>
      </c>
      <c r="L1139" s="19">
        <f t="shared" si="201"/>
        <v>94415169</v>
      </c>
      <c r="M1139" s="20"/>
      <c r="N1139" s="20"/>
      <c r="O1139" s="81"/>
      <c r="P1139" s="55"/>
      <c r="Q1139" s="55"/>
      <c r="R1139" s="14"/>
      <c r="S1139" s="14"/>
    </row>
    <row r="1140" spans="2:19" ht="12.95" hidden="1" customHeight="1" x14ac:dyDescent="0.25">
      <c r="B1140" s="16">
        <v>43280.083333333336</v>
      </c>
      <c r="C1140" s="50" t="s">
        <v>1093</v>
      </c>
      <c r="D1140" s="34"/>
      <c r="E1140" s="37">
        <v>9000000</v>
      </c>
      <c r="F1140" s="37"/>
      <c r="G1140" s="37">
        <f t="shared" si="199"/>
        <v>9000000</v>
      </c>
      <c r="H1140" s="64"/>
      <c r="I1140" s="64">
        <v>413040.01</v>
      </c>
      <c r="J1140" s="64">
        <v>77028.84</v>
      </c>
      <c r="K1140" s="18">
        <f t="shared" si="200"/>
        <v>8509931.1500000004</v>
      </c>
      <c r="L1140" s="19">
        <f t="shared" si="201"/>
        <v>85415169</v>
      </c>
      <c r="M1140" s="20"/>
      <c r="N1140" s="20"/>
      <c r="O1140" s="81"/>
      <c r="P1140" s="55"/>
      <c r="Q1140" s="55"/>
      <c r="R1140" s="14"/>
      <c r="S1140" s="14"/>
    </row>
    <row r="1141" spans="2:19" ht="12.75" hidden="1" customHeight="1" x14ac:dyDescent="0.25">
      <c r="B1141" s="16">
        <v>43308.083333333336</v>
      </c>
      <c r="C1141" s="50" t="s">
        <v>1094</v>
      </c>
      <c r="D1141" s="34"/>
      <c r="E1141" s="37">
        <v>9000000</v>
      </c>
      <c r="F1141" s="37"/>
      <c r="G1141" s="37">
        <f t="shared" si="199"/>
        <v>9000000</v>
      </c>
      <c r="H1141" s="64"/>
      <c r="I1141" s="64">
        <v>413040.01</v>
      </c>
      <c r="J1141" s="64">
        <v>77028.84</v>
      </c>
      <c r="K1141" s="18">
        <f t="shared" si="200"/>
        <v>8509931.1500000004</v>
      </c>
      <c r="L1141" s="19">
        <f t="shared" si="201"/>
        <v>76415169</v>
      </c>
      <c r="M1141" s="20"/>
      <c r="N1141" s="20"/>
      <c r="O1141" s="81"/>
      <c r="P1141" s="55"/>
      <c r="Q1141" s="55"/>
      <c r="R1141" s="14"/>
      <c r="S1141" s="14"/>
    </row>
    <row r="1142" spans="2:19" ht="12.95" hidden="1" customHeight="1" x14ac:dyDescent="0.25">
      <c r="B1142" s="16">
        <v>43347.083333333336</v>
      </c>
      <c r="C1142" s="50" t="s">
        <v>1095</v>
      </c>
      <c r="D1142" s="34"/>
      <c r="E1142" s="37">
        <v>9000000</v>
      </c>
      <c r="F1142" s="37"/>
      <c r="G1142" s="37">
        <f t="shared" si="199"/>
        <v>9000000</v>
      </c>
      <c r="H1142" s="64"/>
      <c r="I1142" s="37">
        <v>413040.01</v>
      </c>
      <c r="J1142" s="64">
        <v>77028.84</v>
      </c>
      <c r="K1142" s="18">
        <f t="shared" si="200"/>
        <v>8509931.1500000004</v>
      </c>
      <c r="L1142" s="19">
        <f t="shared" si="201"/>
        <v>67415169</v>
      </c>
      <c r="M1142" s="20"/>
      <c r="N1142" s="20"/>
      <c r="O1142" s="81"/>
      <c r="P1142" s="55"/>
      <c r="Q1142" s="55"/>
      <c r="R1142" s="14"/>
      <c r="S1142" s="14"/>
    </row>
    <row r="1143" spans="2:19" ht="12.95" hidden="1" customHeight="1" x14ac:dyDescent="0.25">
      <c r="B1143" s="16">
        <v>43347.083333333336</v>
      </c>
      <c r="C1143" s="50" t="s">
        <v>1096</v>
      </c>
      <c r="D1143" s="34"/>
      <c r="E1143" s="37">
        <v>1346089</v>
      </c>
      <c r="F1143" s="37"/>
      <c r="G1143" s="37">
        <f t="shared" si="199"/>
        <v>1346089</v>
      </c>
      <c r="H1143" s="64"/>
      <c r="I1143" s="37"/>
      <c r="J1143" s="64"/>
      <c r="K1143" s="18">
        <f t="shared" si="200"/>
        <v>1346089</v>
      </c>
      <c r="L1143" s="19">
        <f t="shared" si="201"/>
        <v>66069080</v>
      </c>
      <c r="M1143" s="20"/>
      <c r="N1143" s="20"/>
      <c r="O1143" s="81">
        <f>+L1150-'[1]ANEXO 7 - PPTO VIG 2018'!T34</f>
        <v>0</v>
      </c>
      <c r="P1143" s="55"/>
      <c r="Q1143" s="55"/>
      <c r="R1143" s="14"/>
      <c r="S1143" s="14"/>
    </row>
    <row r="1144" spans="2:19" ht="12.95" hidden="1" customHeight="1" x14ac:dyDescent="0.25">
      <c r="B1144" s="16">
        <v>43374.083333333336</v>
      </c>
      <c r="C1144" s="50" t="s">
        <v>1097</v>
      </c>
      <c r="D1144" s="34"/>
      <c r="E1144" s="37">
        <v>9000000</v>
      </c>
      <c r="F1144" s="37"/>
      <c r="G1144" s="37">
        <f t="shared" si="199"/>
        <v>9000000</v>
      </c>
      <c r="H1144" s="64"/>
      <c r="I1144" s="37">
        <v>640008.01</v>
      </c>
      <c r="J1144" s="64">
        <v>86940</v>
      </c>
      <c r="K1144" s="18">
        <f t="shared" si="200"/>
        <v>8273051.9900000002</v>
      </c>
      <c r="L1144" s="19">
        <f t="shared" si="201"/>
        <v>57069080</v>
      </c>
      <c r="M1144" s="20"/>
      <c r="N1144" s="20"/>
      <c r="O1144" s="81"/>
      <c r="P1144" s="55"/>
      <c r="Q1144" s="55"/>
      <c r="R1144" s="14"/>
      <c r="S1144" s="14"/>
    </row>
    <row r="1145" spans="2:19" ht="12.95" hidden="1" customHeight="1" x14ac:dyDescent="0.25">
      <c r="B1145" s="16">
        <v>43403.083333333336</v>
      </c>
      <c r="C1145" s="50" t="s">
        <v>1098</v>
      </c>
      <c r="D1145" s="34"/>
      <c r="E1145" s="37">
        <v>9000000</v>
      </c>
      <c r="F1145" s="37"/>
      <c r="G1145" s="37">
        <f t="shared" si="199"/>
        <v>9000000</v>
      </c>
      <c r="H1145" s="64"/>
      <c r="I1145" s="37">
        <v>420600.01</v>
      </c>
      <c r="J1145" s="64">
        <v>77028.84</v>
      </c>
      <c r="K1145" s="18">
        <f t="shared" si="200"/>
        <v>8502371.1500000004</v>
      </c>
      <c r="L1145" s="19">
        <f t="shared" si="201"/>
        <v>48069080</v>
      </c>
      <c r="M1145" s="20"/>
      <c r="N1145" s="20"/>
      <c r="O1145" s="81"/>
      <c r="P1145" s="55"/>
      <c r="Q1145" s="55"/>
      <c r="R1145" s="14"/>
      <c r="S1145" s="14"/>
    </row>
    <row r="1146" spans="2:19" ht="12.95" hidden="1" customHeight="1" x14ac:dyDescent="0.25">
      <c r="B1146" s="16">
        <v>43439.125</v>
      </c>
      <c r="C1146" s="50" t="s">
        <v>1099</v>
      </c>
      <c r="D1146" s="34"/>
      <c r="E1146" s="37">
        <v>2094331</v>
      </c>
      <c r="F1146" s="37"/>
      <c r="G1146" s="37">
        <f t="shared" si="199"/>
        <v>2094331</v>
      </c>
      <c r="H1146" s="64"/>
      <c r="I1146" s="37"/>
      <c r="J1146" s="64"/>
      <c r="K1146" s="18">
        <f t="shared" si="200"/>
        <v>2094331</v>
      </c>
      <c r="L1146" s="19">
        <f t="shared" si="201"/>
        <v>45974749</v>
      </c>
      <c r="M1146" s="20"/>
      <c r="N1146" s="20"/>
      <c r="O1146" s="81"/>
      <c r="P1146" s="55"/>
      <c r="Q1146" s="55"/>
      <c r="R1146" s="14"/>
      <c r="S1146" s="14"/>
    </row>
    <row r="1147" spans="2:19" ht="12.95" hidden="1" customHeight="1" x14ac:dyDescent="0.25">
      <c r="B1147" s="16">
        <v>43439.125</v>
      </c>
      <c r="C1147" s="50" t="s">
        <v>1100</v>
      </c>
      <c r="D1147" s="34"/>
      <c r="E1147" s="37">
        <v>9000000</v>
      </c>
      <c r="F1147" s="37"/>
      <c r="G1147" s="37">
        <f t="shared" si="199"/>
        <v>9000000</v>
      </c>
      <c r="H1147" s="64"/>
      <c r="I1147" s="37">
        <v>413040.01</v>
      </c>
      <c r="J1147" s="64">
        <v>77028.84</v>
      </c>
      <c r="K1147" s="18">
        <f t="shared" si="200"/>
        <v>8509931.1500000004</v>
      </c>
      <c r="L1147" s="19">
        <f t="shared" si="201"/>
        <v>36974749</v>
      </c>
      <c r="M1147" s="20"/>
      <c r="N1147" s="20"/>
      <c r="O1147" s="81"/>
      <c r="P1147" s="55"/>
      <c r="Q1147" s="55"/>
      <c r="R1147" s="14"/>
      <c r="S1147" s="14"/>
    </row>
    <row r="1148" spans="2:19" ht="12.95" hidden="1" customHeight="1" x14ac:dyDescent="0.25">
      <c r="B1148" s="16">
        <v>43475.125</v>
      </c>
      <c r="C1148" s="50" t="s">
        <v>1101</v>
      </c>
      <c r="D1148" s="34"/>
      <c r="E1148" s="37">
        <v>9000000</v>
      </c>
      <c r="F1148" s="37"/>
      <c r="G1148" s="37">
        <f t="shared" si="199"/>
        <v>9000000</v>
      </c>
      <c r="H1148" s="64"/>
      <c r="I1148" s="37">
        <v>377392</v>
      </c>
      <c r="J1148" s="64">
        <v>77028.84</v>
      </c>
      <c r="K1148" s="18">
        <f t="shared" si="200"/>
        <v>8545579.1600000001</v>
      </c>
      <c r="L1148" s="19">
        <f>+L1147-G1148</f>
        <v>27974749</v>
      </c>
      <c r="M1148" s="20"/>
      <c r="N1148" s="20"/>
      <c r="O1148" s="81"/>
      <c r="P1148" s="55"/>
      <c r="Q1148" s="55"/>
      <c r="R1148" s="14"/>
      <c r="S1148" s="14"/>
    </row>
    <row r="1149" spans="2:19" ht="12.95" hidden="1" customHeight="1" x14ac:dyDescent="0.25">
      <c r="B1149" s="16">
        <v>43475.125</v>
      </c>
      <c r="C1149" s="50" t="s">
        <v>1102</v>
      </c>
      <c r="D1149" s="34"/>
      <c r="E1149" s="37">
        <v>842642</v>
      </c>
      <c r="F1149" s="37"/>
      <c r="G1149" s="37">
        <f t="shared" si="199"/>
        <v>842642</v>
      </c>
      <c r="H1149" s="64"/>
      <c r="I1149" s="37"/>
      <c r="J1149" s="64"/>
      <c r="K1149" s="18">
        <f t="shared" si="200"/>
        <v>842642</v>
      </c>
      <c r="L1149" s="19">
        <f>+L1148-G1149</f>
        <v>27132107</v>
      </c>
      <c r="M1149" s="20"/>
      <c r="N1149" s="20"/>
      <c r="O1149" s="81"/>
      <c r="P1149" s="55"/>
      <c r="Q1149" s="55"/>
      <c r="R1149" s="14"/>
      <c r="S1149" s="14"/>
    </row>
    <row r="1150" spans="2:19" ht="12.95" hidden="1" customHeight="1" x14ac:dyDescent="0.25">
      <c r="B1150" s="16">
        <v>43475.125</v>
      </c>
      <c r="C1150" s="50" t="s">
        <v>654</v>
      </c>
      <c r="D1150" s="34"/>
      <c r="E1150" s="37">
        <v>27132107</v>
      </c>
      <c r="F1150" s="37"/>
      <c r="G1150" s="37"/>
      <c r="H1150" s="64"/>
      <c r="I1150" s="37"/>
      <c r="J1150" s="64"/>
      <c r="K1150" s="18"/>
      <c r="L1150" s="19">
        <f>+L1149-E1150</f>
        <v>0</v>
      </c>
      <c r="M1150" s="20"/>
      <c r="N1150" s="20"/>
      <c r="O1150" s="81"/>
      <c r="P1150" s="55"/>
      <c r="Q1150" s="55"/>
      <c r="R1150" s="14"/>
      <c r="S1150" s="14"/>
    </row>
    <row r="1151" spans="2:19" ht="12.75" hidden="1" customHeight="1" x14ac:dyDescent="0.25">
      <c r="B1151" s="9" t="s">
        <v>1103</v>
      </c>
      <c r="C1151" s="10"/>
      <c r="D1151" s="11">
        <v>49000000</v>
      </c>
      <c r="E1151" s="11">
        <f>+D1151</f>
        <v>49000000</v>
      </c>
      <c r="F1151" s="11"/>
      <c r="G1151" s="11"/>
      <c r="H1151" s="11"/>
      <c r="I1151" s="11"/>
      <c r="J1151" s="11"/>
      <c r="K1151" s="11"/>
      <c r="L1151" s="11">
        <f>+D1151</f>
        <v>49000000</v>
      </c>
      <c r="M1151" s="12"/>
      <c r="N1151" s="12"/>
      <c r="P1151" s="55"/>
      <c r="Q1151" s="55"/>
      <c r="R1151" s="14"/>
      <c r="S1151" s="14"/>
    </row>
    <row r="1152" spans="2:19" ht="12.95" hidden="1" customHeight="1" x14ac:dyDescent="0.25">
      <c r="B1152" s="16">
        <v>43172.083333333336</v>
      </c>
      <c r="C1152" s="50" t="s">
        <v>1104</v>
      </c>
      <c r="D1152" s="34"/>
      <c r="E1152" s="37">
        <v>7000000</v>
      </c>
      <c r="F1152" s="37"/>
      <c r="G1152" s="37">
        <f t="shared" ref="G1152:G1158" si="202">+E1152</f>
        <v>7000000</v>
      </c>
      <c r="H1152" s="64"/>
      <c r="I1152" s="64">
        <v>283224.45</v>
      </c>
      <c r="J1152" s="64">
        <v>59911.32</v>
      </c>
      <c r="K1152" s="18">
        <f t="shared" ref="K1152:K1157" si="203">+G1152-H1152-I1152-J1152</f>
        <v>6656864.2299999995</v>
      </c>
      <c r="L1152" s="19">
        <f t="shared" ref="L1152:L1158" si="204">+L1151-G1152</f>
        <v>42000000</v>
      </c>
      <c r="M1152" s="20"/>
      <c r="N1152" s="20"/>
      <c r="O1152" s="81"/>
      <c r="P1152" s="55"/>
      <c r="Q1152" s="55"/>
      <c r="R1152" s="14"/>
      <c r="S1152" s="14"/>
    </row>
    <row r="1153" spans="2:19" ht="12.95" hidden="1" customHeight="1" x14ac:dyDescent="0.25">
      <c r="B1153" s="16">
        <v>43203.083333333336</v>
      </c>
      <c r="C1153" s="50" t="s">
        <v>1105</v>
      </c>
      <c r="D1153" s="34"/>
      <c r="E1153" s="37">
        <v>7000000</v>
      </c>
      <c r="F1153" s="37"/>
      <c r="G1153" s="37">
        <f t="shared" si="202"/>
        <v>7000000</v>
      </c>
      <c r="H1153" s="64"/>
      <c r="I1153" s="64">
        <v>283224.45</v>
      </c>
      <c r="J1153" s="64">
        <v>59911.32</v>
      </c>
      <c r="K1153" s="18">
        <f t="shared" si="203"/>
        <v>6656864.2299999995</v>
      </c>
      <c r="L1153" s="19">
        <f t="shared" si="204"/>
        <v>35000000</v>
      </c>
      <c r="M1153" s="20"/>
      <c r="N1153" s="20"/>
      <c r="O1153" s="81"/>
      <c r="P1153" s="55"/>
      <c r="Q1153" s="55"/>
      <c r="R1153" s="14"/>
      <c r="S1153" s="14"/>
    </row>
    <row r="1154" spans="2:19" ht="12.95" hidden="1" customHeight="1" x14ac:dyDescent="0.25">
      <c r="B1154" s="16">
        <v>43243.083333333336</v>
      </c>
      <c r="C1154" s="50" t="s">
        <v>1106</v>
      </c>
      <c r="D1154" s="34"/>
      <c r="E1154" s="37">
        <v>7000000</v>
      </c>
      <c r="F1154" s="37"/>
      <c r="G1154" s="37">
        <f t="shared" si="202"/>
        <v>7000000</v>
      </c>
      <c r="H1154" s="64"/>
      <c r="I1154" s="64">
        <v>283224.45</v>
      </c>
      <c r="J1154" s="64">
        <v>59911.32</v>
      </c>
      <c r="K1154" s="18">
        <f t="shared" si="203"/>
        <v>6656864.2299999995</v>
      </c>
      <c r="L1154" s="19">
        <f t="shared" si="204"/>
        <v>28000000</v>
      </c>
      <c r="M1154" s="20"/>
      <c r="N1154" s="20"/>
      <c r="O1154" s="81"/>
      <c r="P1154" s="55"/>
      <c r="Q1154" s="55"/>
      <c r="R1154" s="14"/>
      <c r="S1154" s="14"/>
    </row>
    <row r="1155" spans="2:19" ht="12.95" hidden="1" customHeight="1" x14ac:dyDescent="0.25">
      <c r="B1155" s="16">
        <v>43273.083333333336</v>
      </c>
      <c r="C1155" s="50" t="s">
        <v>1107</v>
      </c>
      <c r="D1155" s="34"/>
      <c r="E1155" s="37">
        <v>7000000</v>
      </c>
      <c r="F1155" s="37"/>
      <c r="G1155" s="37">
        <f t="shared" si="202"/>
        <v>7000000</v>
      </c>
      <c r="H1155" s="64"/>
      <c r="I1155" s="64">
        <v>283224.45</v>
      </c>
      <c r="J1155" s="64">
        <v>59911.32</v>
      </c>
      <c r="K1155" s="18">
        <f t="shared" si="203"/>
        <v>6656864.2299999995</v>
      </c>
      <c r="L1155" s="19">
        <f t="shared" si="204"/>
        <v>21000000</v>
      </c>
      <c r="M1155" s="20"/>
      <c r="N1155" s="20"/>
      <c r="O1155" s="81"/>
      <c r="P1155" s="55"/>
      <c r="Q1155" s="55"/>
      <c r="R1155" s="14"/>
      <c r="S1155" s="14"/>
    </row>
    <row r="1156" spans="2:19" ht="12.75" hidden="1" customHeight="1" x14ac:dyDescent="0.25">
      <c r="B1156" s="16">
        <v>43308.083333333336</v>
      </c>
      <c r="C1156" s="50" t="s">
        <v>1108</v>
      </c>
      <c r="D1156" s="34"/>
      <c r="E1156" s="37">
        <v>7000000</v>
      </c>
      <c r="F1156" s="37"/>
      <c r="G1156" s="37">
        <f t="shared" si="202"/>
        <v>7000000</v>
      </c>
      <c r="H1156" s="64"/>
      <c r="I1156" s="64">
        <v>283224.45</v>
      </c>
      <c r="J1156" s="64">
        <v>59911.32</v>
      </c>
      <c r="K1156" s="18">
        <f t="shared" si="203"/>
        <v>6656864.2299999995</v>
      </c>
      <c r="L1156" s="19">
        <f t="shared" si="204"/>
        <v>14000000</v>
      </c>
      <c r="M1156" s="20"/>
      <c r="N1156" s="20"/>
      <c r="O1156" s="81"/>
      <c r="P1156" s="55"/>
      <c r="Q1156" s="55"/>
      <c r="R1156" s="14"/>
      <c r="S1156" s="14"/>
    </row>
    <row r="1157" spans="2:19" ht="12.75" hidden="1" customHeight="1" x14ac:dyDescent="0.25">
      <c r="B1157" s="16">
        <v>43339.083333333336</v>
      </c>
      <c r="C1157" s="50" t="s">
        <v>1109</v>
      </c>
      <c r="D1157" s="34"/>
      <c r="E1157" s="37">
        <v>7000000</v>
      </c>
      <c r="F1157" s="37"/>
      <c r="G1157" s="37">
        <f t="shared" si="202"/>
        <v>7000000</v>
      </c>
      <c r="H1157" s="64"/>
      <c r="I1157" s="64">
        <v>283224.45</v>
      </c>
      <c r="J1157" s="64">
        <v>59911.32</v>
      </c>
      <c r="K1157" s="18">
        <f t="shared" si="203"/>
        <v>6656864.2299999995</v>
      </c>
      <c r="L1157" s="19">
        <f t="shared" si="204"/>
        <v>7000000</v>
      </c>
      <c r="M1157" s="20"/>
      <c r="N1157" s="20"/>
      <c r="O1157" s="81">
        <f>+L1158-'[1]ANEXO 7 - PPTO VIG 2018'!T52</f>
        <v>0</v>
      </c>
      <c r="P1157" s="55"/>
      <c r="Q1157" s="55"/>
      <c r="R1157" s="14"/>
      <c r="S1157" s="14"/>
    </row>
    <row r="1158" spans="2:19" ht="12.75" hidden="1" customHeight="1" x14ac:dyDescent="0.25">
      <c r="B1158" s="16">
        <v>43395.083333333336</v>
      </c>
      <c r="C1158" s="50" t="s">
        <v>1110</v>
      </c>
      <c r="D1158" s="34"/>
      <c r="E1158" s="37">
        <v>7000000</v>
      </c>
      <c r="F1158" s="37"/>
      <c r="G1158" s="37">
        <f t="shared" si="202"/>
        <v>7000000</v>
      </c>
      <c r="H1158" s="64"/>
      <c r="I1158" s="64">
        <v>283224.45</v>
      </c>
      <c r="J1158" s="64">
        <v>59911.32</v>
      </c>
      <c r="K1158" s="18">
        <f>+G1158-H1158-I1158-J1158</f>
        <v>6656864.2299999995</v>
      </c>
      <c r="L1158" s="19">
        <f t="shared" si="204"/>
        <v>0</v>
      </c>
      <c r="M1158" s="20"/>
      <c r="N1158" s="20"/>
      <c r="O1158" s="81"/>
      <c r="P1158" s="55"/>
      <c r="Q1158" s="55"/>
      <c r="R1158" s="14"/>
      <c r="S1158" s="14"/>
    </row>
    <row r="1159" spans="2:19" ht="12.95" hidden="1" customHeight="1" x14ac:dyDescent="0.25">
      <c r="B1159" s="9" t="s">
        <v>1111</v>
      </c>
      <c r="C1159" s="10"/>
      <c r="D1159" s="11">
        <v>24500000</v>
      </c>
      <c r="E1159" s="11">
        <f>+D1159</f>
        <v>24500000</v>
      </c>
      <c r="F1159" s="11"/>
      <c r="G1159" s="11"/>
      <c r="H1159" s="11"/>
      <c r="I1159" s="11"/>
      <c r="J1159" s="11"/>
      <c r="K1159" s="11"/>
      <c r="L1159" s="11">
        <f>+D1159</f>
        <v>24500000</v>
      </c>
      <c r="M1159" s="12"/>
      <c r="N1159" s="12"/>
      <c r="P1159" s="55"/>
      <c r="Q1159" s="55"/>
      <c r="R1159" s="14"/>
      <c r="S1159" s="14"/>
    </row>
    <row r="1160" spans="2:19" ht="12.95" hidden="1" customHeight="1" x14ac:dyDescent="0.25">
      <c r="B1160" s="16">
        <v>43173.083333333336</v>
      </c>
      <c r="C1160" s="50" t="s">
        <v>1112</v>
      </c>
      <c r="D1160" s="34"/>
      <c r="E1160" s="37">
        <v>3500000</v>
      </c>
      <c r="F1160" s="37"/>
      <c r="G1160" s="37">
        <f>+E1160</f>
        <v>3500000</v>
      </c>
      <c r="H1160" s="64"/>
      <c r="I1160" s="64"/>
      <c r="J1160" s="64">
        <v>29955.66</v>
      </c>
      <c r="K1160" s="18">
        <f t="shared" ref="K1160:K1165" si="205">+G1160-H1160-I1160-J1160</f>
        <v>3470044.34</v>
      </c>
      <c r="L1160" s="19">
        <f t="shared" ref="L1160:L1166" si="206">+L1159-G1160</f>
        <v>21000000</v>
      </c>
      <c r="M1160" s="20"/>
      <c r="N1160" s="20"/>
      <c r="O1160" s="81"/>
      <c r="P1160" s="55"/>
      <c r="Q1160" s="55"/>
      <c r="R1160" s="14"/>
      <c r="S1160" s="14"/>
    </row>
    <row r="1161" spans="2:19" ht="12.95" hidden="1" customHeight="1" x14ac:dyDescent="0.25">
      <c r="B1161" s="16">
        <v>43209.083333333336</v>
      </c>
      <c r="C1161" s="50" t="s">
        <v>1113</v>
      </c>
      <c r="D1161" s="34"/>
      <c r="E1161" s="37">
        <v>3500000</v>
      </c>
      <c r="F1161" s="37"/>
      <c r="G1161" s="37">
        <v>3500000</v>
      </c>
      <c r="H1161" s="64"/>
      <c r="I1161" s="64"/>
      <c r="J1161" s="64">
        <v>29955.66</v>
      </c>
      <c r="K1161" s="18">
        <f t="shared" si="205"/>
        <v>3470044.34</v>
      </c>
      <c r="L1161" s="19">
        <f t="shared" si="206"/>
        <v>17500000</v>
      </c>
      <c r="M1161" s="20"/>
      <c r="N1161" s="20"/>
      <c r="O1161" s="81"/>
      <c r="P1161" s="55"/>
      <c r="Q1161" s="55"/>
      <c r="R1161" s="14"/>
      <c r="S1161" s="14"/>
    </row>
    <row r="1162" spans="2:19" ht="12.95" hidden="1" customHeight="1" x14ac:dyDescent="0.25">
      <c r="B1162" s="16">
        <v>43227</v>
      </c>
      <c r="C1162" s="50" t="s">
        <v>1114</v>
      </c>
      <c r="D1162" s="34"/>
      <c r="E1162" s="37">
        <v>3500000</v>
      </c>
      <c r="F1162" s="37"/>
      <c r="G1162" s="37">
        <v>3500000</v>
      </c>
      <c r="H1162" s="64"/>
      <c r="I1162" s="64"/>
      <c r="J1162" s="64">
        <v>29955.66</v>
      </c>
      <c r="K1162" s="18">
        <f t="shared" si="205"/>
        <v>3470044.34</v>
      </c>
      <c r="L1162" s="19">
        <f t="shared" si="206"/>
        <v>14000000</v>
      </c>
      <c r="M1162" s="20"/>
      <c r="N1162" s="20"/>
      <c r="O1162" s="81"/>
      <c r="P1162" s="55"/>
      <c r="Q1162" s="55"/>
      <c r="R1162" s="14"/>
      <c r="S1162" s="14"/>
    </row>
    <row r="1163" spans="2:19" ht="12.75" hidden="1" customHeight="1" x14ac:dyDescent="0.25">
      <c r="B1163" s="16">
        <v>43287.083333333336</v>
      </c>
      <c r="C1163" s="50" t="s">
        <v>1115</v>
      </c>
      <c r="D1163" s="34"/>
      <c r="E1163" s="37">
        <v>3500000</v>
      </c>
      <c r="F1163" s="37"/>
      <c r="G1163" s="37">
        <v>3500000</v>
      </c>
      <c r="H1163" s="64"/>
      <c r="I1163" s="64"/>
      <c r="J1163" s="64">
        <v>29955.66</v>
      </c>
      <c r="K1163" s="18">
        <f t="shared" si="205"/>
        <v>3470044.34</v>
      </c>
      <c r="L1163" s="19">
        <f t="shared" si="206"/>
        <v>10500000</v>
      </c>
      <c r="M1163" s="20"/>
      <c r="N1163" s="20"/>
      <c r="O1163" s="81"/>
      <c r="P1163" s="55"/>
      <c r="Q1163" s="55"/>
      <c r="R1163" s="14"/>
      <c r="S1163" s="14"/>
    </row>
    <row r="1164" spans="2:19" ht="12.75" hidden="1" customHeight="1" x14ac:dyDescent="0.25">
      <c r="B1164" s="16">
        <v>43339.083333333336</v>
      </c>
      <c r="C1164" s="50" t="s">
        <v>1116</v>
      </c>
      <c r="D1164" s="34"/>
      <c r="E1164" s="37">
        <v>3500000</v>
      </c>
      <c r="F1164" s="37"/>
      <c r="G1164" s="37">
        <v>3500000</v>
      </c>
      <c r="H1164" s="64"/>
      <c r="I1164" s="64"/>
      <c r="J1164" s="64">
        <v>29955.66</v>
      </c>
      <c r="K1164" s="18">
        <f t="shared" si="205"/>
        <v>3470044.34</v>
      </c>
      <c r="L1164" s="19">
        <f t="shared" si="206"/>
        <v>7000000</v>
      </c>
      <c r="M1164" s="20"/>
      <c r="N1164" s="20"/>
      <c r="O1164" s="81">
        <f>+L1166-'[1]ANEXO 7 - PPTO VIG 2018'!T58</f>
        <v>0</v>
      </c>
      <c r="P1164" s="55"/>
      <c r="Q1164" s="55"/>
      <c r="R1164" s="14"/>
      <c r="S1164" s="14"/>
    </row>
    <row r="1165" spans="2:19" ht="12.75" hidden="1" customHeight="1" x14ac:dyDescent="0.25">
      <c r="B1165" s="16">
        <v>43349.083333333336</v>
      </c>
      <c r="C1165" s="50" t="s">
        <v>1117</v>
      </c>
      <c r="D1165" s="34"/>
      <c r="E1165" s="37">
        <v>3500000</v>
      </c>
      <c r="F1165" s="37"/>
      <c r="G1165" s="37">
        <v>3500000</v>
      </c>
      <c r="H1165" s="64"/>
      <c r="I1165" s="37"/>
      <c r="J1165" s="64">
        <v>29955.66</v>
      </c>
      <c r="K1165" s="18">
        <f t="shared" si="205"/>
        <v>3470044.34</v>
      </c>
      <c r="L1165" s="19">
        <f t="shared" si="206"/>
        <v>3500000</v>
      </c>
      <c r="M1165" s="20"/>
      <c r="N1165" s="20"/>
      <c r="O1165" s="81"/>
      <c r="P1165" s="55"/>
      <c r="Q1165" s="55"/>
      <c r="R1165" s="14"/>
      <c r="S1165" s="14"/>
    </row>
    <row r="1166" spans="2:19" ht="12.75" hidden="1" customHeight="1" x14ac:dyDescent="0.25">
      <c r="B1166" s="16">
        <v>43397.083333333336</v>
      </c>
      <c r="C1166" s="50" t="s">
        <v>1118</v>
      </c>
      <c r="D1166" s="34"/>
      <c r="E1166" s="37">
        <v>3500000</v>
      </c>
      <c r="F1166" s="37"/>
      <c r="G1166" s="37">
        <v>3500000</v>
      </c>
      <c r="H1166" s="64"/>
      <c r="I1166" s="37"/>
      <c r="J1166" s="64">
        <v>29955.66</v>
      </c>
      <c r="K1166" s="18">
        <f>+G1166-H1166-I1166-J1166</f>
        <v>3470044.34</v>
      </c>
      <c r="L1166" s="19">
        <f t="shared" si="206"/>
        <v>0</v>
      </c>
      <c r="M1166" s="20"/>
      <c r="N1166" s="20"/>
      <c r="O1166" s="81"/>
      <c r="P1166" s="55"/>
      <c r="Q1166" s="55"/>
      <c r="R1166" s="14"/>
      <c r="S1166" s="14"/>
    </row>
    <row r="1167" spans="2:19" ht="12.95" hidden="1" customHeight="1" x14ac:dyDescent="0.25">
      <c r="B1167" s="9" t="s">
        <v>1119</v>
      </c>
      <c r="C1167" s="10"/>
      <c r="D1167" s="11">
        <f>28000000+14000000</f>
        <v>42000000</v>
      </c>
      <c r="E1167" s="11">
        <f>+D1167</f>
        <v>42000000</v>
      </c>
      <c r="F1167" s="11"/>
      <c r="G1167" s="11"/>
      <c r="H1167" s="11"/>
      <c r="I1167" s="11"/>
      <c r="J1167" s="11"/>
      <c r="K1167" s="11"/>
      <c r="L1167" s="11">
        <f>+D1167</f>
        <v>42000000</v>
      </c>
      <c r="M1167" s="12"/>
      <c r="N1167" s="12"/>
      <c r="P1167" s="55"/>
      <c r="Q1167" s="55"/>
      <c r="R1167" s="14"/>
      <c r="S1167" s="14"/>
    </row>
    <row r="1168" spans="2:19" ht="12.95" hidden="1" customHeight="1" x14ac:dyDescent="0.25">
      <c r="B1168" s="16">
        <v>43173.083333333336</v>
      </c>
      <c r="C1168" s="50" t="s">
        <v>1120</v>
      </c>
      <c r="D1168" s="34"/>
      <c r="E1168" s="37">
        <v>4000000</v>
      </c>
      <c r="F1168" s="37"/>
      <c r="G1168" s="37">
        <f t="shared" ref="G1168:G1178" si="207">+E1168</f>
        <v>4000000</v>
      </c>
      <c r="H1168" s="64"/>
      <c r="I1168" s="64"/>
      <c r="J1168" s="64">
        <v>34235.040000000001</v>
      </c>
      <c r="K1168" s="18">
        <f t="shared" ref="K1168:K1173" si="208">+G1168-H1168-I1168-J1168</f>
        <v>3965764.96</v>
      </c>
      <c r="L1168" s="19">
        <f t="shared" ref="L1168:L1178" si="209">+L1167-G1168</f>
        <v>38000000</v>
      </c>
      <c r="M1168" s="20"/>
      <c r="N1168" s="20"/>
      <c r="O1168" s="81"/>
      <c r="P1168" s="55"/>
      <c r="Q1168" s="55"/>
      <c r="R1168" s="14"/>
      <c r="S1168" s="14"/>
    </row>
    <row r="1169" spans="2:19" ht="12.95" hidden="1" customHeight="1" x14ac:dyDescent="0.25">
      <c r="B1169" s="16">
        <v>43203.083333333336</v>
      </c>
      <c r="C1169" s="50" t="s">
        <v>1121</v>
      </c>
      <c r="D1169" s="34"/>
      <c r="E1169" s="37">
        <v>4000000</v>
      </c>
      <c r="F1169" s="37"/>
      <c r="G1169" s="37">
        <f t="shared" si="207"/>
        <v>4000000</v>
      </c>
      <c r="H1169" s="64"/>
      <c r="I1169" s="64"/>
      <c r="J1169" s="64">
        <v>34235.040000000001</v>
      </c>
      <c r="K1169" s="18">
        <f t="shared" si="208"/>
        <v>3965764.96</v>
      </c>
      <c r="L1169" s="19">
        <f t="shared" si="209"/>
        <v>34000000</v>
      </c>
      <c r="M1169" s="20"/>
      <c r="N1169" s="20"/>
      <c r="O1169" s="81"/>
      <c r="P1169" s="55"/>
      <c r="Q1169" s="55"/>
      <c r="R1169" s="14"/>
      <c r="S1169" s="14"/>
    </row>
    <row r="1170" spans="2:19" ht="12.95" hidden="1" customHeight="1" x14ac:dyDescent="0.25">
      <c r="B1170" s="16">
        <v>43227</v>
      </c>
      <c r="C1170" s="50" t="s">
        <v>1122</v>
      </c>
      <c r="D1170" s="34"/>
      <c r="E1170" s="37">
        <v>4000000</v>
      </c>
      <c r="F1170" s="37"/>
      <c r="G1170" s="37">
        <f t="shared" si="207"/>
        <v>4000000</v>
      </c>
      <c r="H1170" s="64"/>
      <c r="I1170" s="64"/>
      <c r="J1170" s="64">
        <v>34235.040000000001</v>
      </c>
      <c r="K1170" s="18">
        <f t="shared" si="208"/>
        <v>3965764.96</v>
      </c>
      <c r="L1170" s="19">
        <f t="shared" si="209"/>
        <v>30000000</v>
      </c>
      <c r="M1170" s="20"/>
      <c r="N1170" s="20"/>
      <c r="O1170" s="81"/>
      <c r="P1170" s="55"/>
      <c r="Q1170" s="55"/>
      <c r="R1170" s="14"/>
      <c r="S1170" s="14"/>
    </row>
    <row r="1171" spans="2:19" ht="12.95" hidden="1" customHeight="1" x14ac:dyDescent="0.25">
      <c r="B1171" s="16">
        <v>43251.083333333336</v>
      </c>
      <c r="C1171" s="50" t="s">
        <v>1123</v>
      </c>
      <c r="D1171" s="34"/>
      <c r="E1171" s="37">
        <v>1111827</v>
      </c>
      <c r="F1171" s="37"/>
      <c r="G1171" s="37">
        <f t="shared" si="207"/>
        <v>1111827</v>
      </c>
      <c r="H1171" s="64"/>
      <c r="I1171" s="64"/>
      <c r="J1171" s="64"/>
      <c r="K1171" s="18">
        <f t="shared" si="208"/>
        <v>1111827</v>
      </c>
      <c r="L1171" s="19">
        <f t="shared" si="209"/>
        <v>28888173</v>
      </c>
      <c r="M1171" s="20"/>
      <c r="N1171" s="20"/>
      <c r="O1171" s="81"/>
      <c r="P1171" s="55"/>
      <c r="Q1171" s="55"/>
      <c r="R1171" s="14"/>
      <c r="S1171" s="14"/>
    </row>
    <row r="1172" spans="2:19" ht="12.95" hidden="1" customHeight="1" x14ac:dyDescent="0.25">
      <c r="B1172" s="16">
        <v>43265.083333333336</v>
      </c>
      <c r="C1172" s="50" t="s">
        <v>1124</v>
      </c>
      <c r="D1172" s="34"/>
      <c r="E1172" s="37">
        <v>4000000</v>
      </c>
      <c r="F1172" s="37"/>
      <c r="G1172" s="37">
        <f t="shared" si="207"/>
        <v>4000000</v>
      </c>
      <c r="H1172" s="64"/>
      <c r="I1172" s="64"/>
      <c r="J1172" s="64">
        <v>34235.040000000001</v>
      </c>
      <c r="K1172" s="18">
        <f t="shared" si="208"/>
        <v>3965764.96</v>
      </c>
      <c r="L1172" s="19">
        <f t="shared" si="209"/>
        <v>24888173</v>
      </c>
      <c r="M1172" s="20"/>
      <c r="N1172" s="20"/>
      <c r="O1172" s="81"/>
      <c r="P1172" s="55"/>
      <c r="Q1172" s="55"/>
      <c r="R1172" s="14"/>
      <c r="S1172" s="14"/>
    </row>
    <row r="1173" spans="2:19" ht="12.95" hidden="1" customHeight="1" x14ac:dyDescent="0.25">
      <c r="B1173" s="16">
        <v>43297.083333333336</v>
      </c>
      <c r="C1173" s="50" t="s">
        <v>1125</v>
      </c>
      <c r="D1173" s="34"/>
      <c r="E1173" s="37">
        <v>4000000</v>
      </c>
      <c r="F1173" s="37"/>
      <c r="G1173" s="37">
        <f t="shared" si="207"/>
        <v>4000000</v>
      </c>
      <c r="H1173" s="64"/>
      <c r="I1173" s="64"/>
      <c r="J1173" s="64">
        <v>34235.040000000001</v>
      </c>
      <c r="K1173" s="18">
        <f t="shared" si="208"/>
        <v>3965764.96</v>
      </c>
      <c r="L1173" s="19">
        <f t="shared" si="209"/>
        <v>20888173</v>
      </c>
      <c r="M1173" s="20"/>
      <c r="N1173" s="20"/>
      <c r="O1173" s="81"/>
      <c r="P1173" s="55"/>
      <c r="Q1173" s="55"/>
      <c r="R1173" s="14"/>
      <c r="S1173" s="14"/>
    </row>
    <row r="1174" spans="2:19" ht="12.75" hidden="1" customHeight="1" x14ac:dyDescent="0.25">
      <c r="B1174" s="16">
        <v>43307</v>
      </c>
      <c r="C1174" s="50" t="s">
        <v>1126</v>
      </c>
      <c r="D1174" s="34"/>
      <c r="E1174" s="37">
        <v>190722</v>
      </c>
      <c r="F1174" s="37"/>
      <c r="G1174" s="37">
        <f t="shared" si="207"/>
        <v>190722</v>
      </c>
      <c r="H1174" s="64">
        <v>0</v>
      </c>
      <c r="I1174" s="64">
        <v>0</v>
      </c>
      <c r="J1174" s="64">
        <v>0</v>
      </c>
      <c r="K1174" s="18">
        <v>0</v>
      </c>
      <c r="L1174" s="19">
        <f t="shared" si="209"/>
        <v>20697451</v>
      </c>
      <c r="M1174" s="20"/>
      <c r="N1174" s="20"/>
      <c r="O1174" s="81"/>
      <c r="P1174" s="55"/>
      <c r="Q1174" s="55"/>
      <c r="R1174" s="14"/>
      <c r="S1174" s="14"/>
    </row>
    <row r="1175" spans="2:19" ht="12.75" hidden="1" customHeight="1" x14ac:dyDescent="0.25">
      <c r="B1175" s="16">
        <v>43339.083333333336</v>
      </c>
      <c r="C1175" s="50" t="s">
        <v>1127</v>
      </c>
      <c r="D1175" s="34"/>
      <c r="E1175" s="37">
        <v>4000000</v>
      </c>
      <c r="F1175" s="37"/>
      <c r="G1175" s="37">
        <f t="shared" si="207"/>
        <v>4000000</v>
      </c>
      <c r="H1175" s="64"/>
      <c r="I1175" s="64"/>
      <c r="J1175" s="64">
        <v>34235.040000000001</v>
      </c>
      <c r="K1175" s="18">
        <f>+G1175-H1175-I1175-J1175</f>
        <v>3965764.96</v>
      </c>
      <c r="L1175" s="19">
        <f t="shared" si="209"/>
        <v>16697451</v>
      </c>
      <c r="M1175" s="20"/>
      <c r="N1175" s="20"/>
      <c r="O1175" s="81">
        <f>+L1179-'[1]ANEXO 7 - PPTO VIG 2018'!T57</f>
        <v>0</v>
      </c>
      <c r="P1175" s="55"/>
      <c r="Q1175" s="55"/>
      <c r="R1175" s="14"/>
      <c r="S1175" s="14"/>
    </row>
    <row r="1176" spans="2:19" ht="12.95" hidden="1" customHeight="1" x14ac:dyDescent="0.25">
      <c r="B1176" s="16">
        <v>43339.083333333336</v>
      </c>
      <c r="C1176" s="50" t="s">
        <v>1128</v>
      </c>
      <c r="D1176" s="34"/>
      <c r="E1176" s="37">
        <v>607983</v>
      </c>
      <c r="F1176" s="37"/>
      <c r="G1176" s="37">
        <f t="shared" si="207"/>
        <v>607983</v>
      </c>
      <c r="H1176" s="64">
        <v>0</v>
      </c>
      <c r="I1176" s="64">
        <v>0</v>
      </c>
      <c r="J1176" s="64">
        <v>0</v>
      </c>
      <c r="K1176" s="18">
        <v>0</v>
      </c>
      <c r="L1176" s="19">
        <f t="shared" si="209"/>
        <v>16089468</v>
      </c>
      <c r="M1176" s="20"/>
      <c r="N1176" s="20"/>
      <c r="O1176" s="81"/>
      <c r="P1176" s="55"/>
      <c r="Q1176" s="55"/>
      <c r="R1176" s="14"/>
      <c r="S1176" s="14"/>
    </row>
    <row r="1177" spans="2:19" ht="12.95" hidden="1" customHeight="1" x14ac:dyDescent="0.25">
      <c r="B1177" s="16">
        <v>43362.083333333336</v>
      </c>
      <c r="C1177" s="50" t="s">
        <v>1129</v>
      </c>
      <c r="D1177" s="34"/>
      <c r="E1177" s="37">
        <v>1551054</v>
      </c>
      <c r="F1177" s="37"/>
      <c r="G1177" s="37">
        <f t="shared" si="207"/>
        <v>1551054</v>
      </c>
      <c r="H1177" s="64">
        <v>0</v>
      </c>
      <c r="I1177" s="37">
        <v>0</v>
      </c>
      <c r="J1177" s="64">
        <v>0</v>
      </c>
      <c r="K1177" s="18">
        <f>+G1177-H1177-I1177-J1177</f>
        <v>1551054</v>
      </c>
      <c r="L1177" s="19">
        <f t="shared" si="209"/>
        <v>14538414</v>
      </c>
      <c r="M1177" s="20"/>
      <c r="N1177" s="20"/>
      <c r="O1177" s="81"/>
      <c r="P1177" s="55"/>
      <c r="Q1177" s="55"/>
      <c r="R1177" s="14"/>
      <c r="S1177" s="14"/>
    </row>
    <row r="1178" spans="2:19" ht="12.75" hidden="1" customHeight="1" x14ac:dyDescent="0.25">
      <c r="B1178" s="16">
        <v>43369.083333333336</v>
      </c>
      <c r="C1178" s="50" t="s">
        <v>1130</v>
      </c>
      <c r="D1178" s="34"/>
      <c r="E1178" s="37">
        <v>4000000</v>
      </c>
      <c r="F1178" s="37"/>
      <c r="G1178" s="37">
        <f t="shared" si="207"/>
        <v>4000000</v>
      </c>
      <c r="H1178" s="64"/>
      <c r="I1178" s="37"/>
      <c r="J1178" s="64">
        <v>34235.040000000001</v>
      </c>
      <c r="K1178" s="18">
        <f>+G1178-H1178-I1178-J1178</f>
        <v>3965764.96</v>
      </c>
      <c r="L1178" s="19">
        <f t="shared" si="209"/>
        <v>10538414</v>
      </c>
      <c r="M1178" s="20"/>
      <c r="N1178" s="20"/>
      <c r="O1178" s="81"/>
      <c r="P1178" s="55"/>
      <c r="Q1178" s="55"/>
      <c r="R1178" s="14"/>
      <c r="S1178" s="14"/>
    </row>
    <row r="1179" spans="2:19" ht="12.95" hidden="1" customHeight="1" x14ac:dyDescent="0.25">
      <c r="B1179" s="16">
        <v>43369.083333333336</v>
      </c>
      <c r="C1179" s="50" t="s">
        <v>654</v>
      </c>
      <c r="D1179" s="34"/>
      <c r="E1179" s="37">
        <v>10538414</v>
      </c>
      <c r="F1179" s="37"/>
      <c r="G1179" s="37"/>
      <c r="H1179" s="64"/>
      <c r="I1179" s="37"/>
      <c r="J1179" s="64"/>
      <c r="K1179" s="18"/>
      <c r="L1179" s="19">
        <f>+L1178-E1179</f>
        <v>0</v>
      </c>
      <c r="M1179" s="20"/>
      <c r="N1179" s="20"/>
      <c r="O1179" s="81"/>
      <c r="P1179" s="55"/>
      <c r="Q1179" s="55"/>
      <c r="R1179" s="14"/>
      <c r="S1179" s="14"/>
    </row>
    <row r="1180" spans="2:19" ht="12.95" hidden="1" customHeight="1" x14ac:dyDescent="0.25">
      <c r="B1180" s="9" t="s">
        <v>1131</v>
      </c>
      <c r="C1180" s="10"/>
      <c r="D1180" s="11">
        <v>99000000</v>
      </c>
      <c r="E1180" s="11">
        <f>+D1180</f>
        <v>99000000</v>
      </c>
      <c r="F1180" s="11"/>
      <c r="G1180" s="11"/>
      <c r="H1180" s="11"/>
      <c r="I1180" s="11"/>
      <c r="J1180" s="11"/>
      <c r="K1180" s="11"/>
      <c r="L1180" s="11">
        <f>+D1180</f>
        <v>99000000</v>
      </c>
      <c r="M1180" s="12"/>
      <c r="N1180" s="12"/>
      <c r="P1180" s="55"/>
      <c r="Q1180" s="55"/>
      <c r="R1180" s="14"/>
      <c r="S1180" s="14"/>
    </row>
    <row r="1181" spans="2:19" ht="12.95" hidden="1" customHeight="1" x14ac:dyDescent="0.25">
      <c r="B1181" s="16">
        <v>43173.083333333336</v>
      </c>
      <c r="C1181" s="50" t="s">
        <v>1132</v>
      </c>
      <c r="D1181" s="34"/>
      <c r="E1181" s="37">
        <v>9360000</v>
      </c>
      <c r="F1181" s="37"/>
      <c r="G1181" s="37">
        <f t="shared" ref="G1181:G1187" si="210">+E1181</f>
        <v>9360000</v>
      </c>
      <c r="H1181" s="64">
        <v>224168.1</v>
      </c>
      <c r="I1181" s="64">
        <v>504068.41</v>
      </c>
      <c r="J1181" s="64">
        <v>72182.12</v>
      </c>
      <c r="K1181" s="18">
        <f t="shared" ref="K1181:K1188" si="211">+G1181-H1181-I1181-J1181</f>
        <v>8559581.370000001</v>
      </c>
      <c r="L1181" s="19">
        <f t="shared" ref="L1181:L1188" si="212">+L1180-G1181</f>
        <v>89640000</v>
      </c>
      <c r="M1181" s="20"/>
      <c r="N1181" s="20"/>
      <c r="O1181" s="81"/>
      <c r="P1181" s="55"/>
      <c r="Q1181" s="55"/>
      <c r="R1181" s="14"/>
      <c r="S1181" s="14"/>
    </row>
    <row r="1182" spans="2:19" ht="12.75" hidden="1" customHeight="1" x14ac:dyDescent="0.25">
      <c r="B1182" s="16">
        <v>43213.083333333336</v>
      </c>
      <c r="C1182" s="50" t="s">
        <v>1133</v>
      </c>
      <c r="D1182" s="34"/>
      <c r="E1182" s="37">
        <v>9360000</v>
      </c>
      <c r="F1182" s="37"/>
      <c r="G1182" s="37">
        <f t="shared" si="210"/>
        <v>9360000</v>
      </c>
      <c r="H1182" s="64">
        <v>224168.1</v>
      </c>
      <c r="I1182" s="64">
        <v>504068.41</v>
      </c>
      <c r="J1182" s="64">
        <v>72182.12</v>
      </c>
      <c r="K1182" s="18">
        <f t="shared" si="211"/>
        <v>8559581.370000001</v>
      </c>
      <c r="L1182" s="19">
        <f t="shared" si="212"/>
        <v>80280000</v>
      </c>
      <c r="M1182" s="20"/>
      <c r="N1182" s="20"/>
      <c r="O1182" s="81"/>
      <c r="P1182" s="55"/>
      <c r="Q1182" s="55"/>
      <c r="R1182" s="14"/>
      <c r="S1182" s="14"/>
    </row>
    <row r="1183" spans="2:19" ht="12.95" hidden="1" customHeight="1" x14ac:dyDescent="0.25">
      <c r="B1183" s="16">
        <v>43235</v>
      </c>
      <c r="C1183" s="50" t="s">
        <v>1134</v>
      </c>
      <c r="D1183" s="34"/>
      <c r="E1183" s="37">
        <v>9360000</v>
      </c>
      <c r="F1183" s="37"/>
      <c r="G1183" s="37">
        <f t="shared" si="210"/>
        <v>9360000</v>
      </c>
      <c r="H1183" s="64">
        <v>224168.1</v>
      </c>
      <c r="I1183" s="64">
        <v>504068.41</v>
      </c>
      <c r="J1183" s="64">
        <v>72182.12</v>
      </c>
      <c r="K1183" s="18">
        <f t="shared" si="211"/>
        <v>8559581.370000001</v>
      </c>
      <c r="L1183" s="19">
        <f t="shared" si="212"/>
        <v>70920000</v>
      </c>
      <c r="M1183" s="20"/>
      <c r="N1183" s="20"/>
      <c r="O1183" s="81"/>
      <c r="P1183" s="55"/>
      <c r="Q1183" s="55"/>
      <c r="R1183" s="14"/>
      <c r="S1183" s="14"/>
    </row>
    <row r="1184" spans="2:19" ht="12.95" hidden="1" customHeight="1" x14ac:dyDescent="0.25">
      <c r="B1184" s="16">
        <v>43270.083333333336</v>
      </c>
      <c r="C1184" s="50" t="s">
        <v>1135</v>
      </c>
      <c r="D1184" s="34"/>
      <c r="E1184" s="37">
        <v>9360000</v>
      </c>
      <c r="F1184" s="37"/>
      <c r="G1184" s="37">
        <f t="shared" si="210"/>
        <v>9360000</v>
      </c>
      <c r="H1184" s="64">
        <v>224168.1</v>
      </c>
      <c r="I1184" s="64">
        <v>504068.41</v>
      </c>
      <c r="J1184" s="64">
        <v>72182.12</v>
      </c>
      <c r="K1184" s="18">
        <f t="shared" si="211"/>
        <v>8559581.370000001</v>
      </c>
      <c r="L1184" s="19">
        <f t="shared" si="212"/>
        <v>61560000</v>
      </c>
      <c r="M1184" s="20"/>
      <c r="N1184" s="20"/>
      <c r="O1184" s="81"/>
      <c r="P1184" s="55"/>
      <c r="Q1184" s="55"/>
      <c r="R1184" s="14"/>
      <c r="S1184" s="14"/>
    </row>
    <row r="1185" spans="2:19" ht="12.95" hidden="1" customHeight="1" x14ac:dyDescent="0.25">
      <c r="B1185" s="16">
        <v>43305</v>
      </c>
      <c r="C1185" s="50" t="s">
        <v>1136</v>
      </c>
      <c r="D1185" s="34"/>
      <c r="E1185" s="37">
        <v>9360000</v>
      </c>
      <c r="F1185" s="37"/>
      <c r="G1185" s="37">
        <f t="shared" si="210"/>
        <v>9360000</v>
      </c>
      <c r="H1185" s="64">
        <v>224168.1</v>
      </c>
      <c r="I1185" s="64">
        <v>504068.41</v>
      </c>
      <c r="J1185" s="64">
        <v>72182.12</v>
      </c>
      <c r="K1185" s="18">
        <f t="shared" si="211"/>
        <v>8559581.370000001</v>
      </c>
      <c r="L1185" s="19">
        <f t="shared" si="212"/>
        <v>52200000</v>
      </c>
      <c r="M1185" s="20"/>
      <c r="N1185" s="20"/>
      <c r="O1185" s="81"/>
      <c r="P1185" s="55"/>
      <c r="Q1185" s="55"/>
      <c r="R1185" s="14"/>
      <c r="S1185" s="14"/>
    </row>
    <row r="1186" spans="2:19" ht="12.95" hidden="1" customHeight="1" x14ac:dyDescent="0.25">
      <c r="B1186" s="16">
        <v>43339.083333333336</v>
      </c>
      <c r="C1186" s="50" t="s">
        <v>1137</v>
      </c>
      <c r="D1186" s="34"/>
      <c r="E1186" s="37">
        <v>9360000</v>
      </c>
      <c r="F1186" s="37"/>
      <c r="G1186" s="37">
        <f t="shared" si="210"/>
        <v>9360000</v>
      </c>
      <c r="H1186" s="64">
        <v>224168.1</v>
      </c>
      <c r="I1186" s="64">
        <v>504068.41</v>
      </c>
      <c r="J1186" s="64">
        <v>72182.12</v>
      </c>
      <c r="K1186" s="18">
        <f t="shared" si="211"/>
        <v>8559581.370000001</v>
      </c>
      <c r="L1186" s="19">
        <f t="shared" si="212"/>
        <v>42840000</v>
      </c>
      <c r="M1186" s="20"/>
      <c r="N1186" s="20"/>
      <c r="O1186" s="81"/>
      <c r="P1186" s="55"/>
      <c r="Q1186" s="55"/>
      <c r="R1186" s="14"/>
      <c r="S1186" s="14"/>
    </row>
    <row r="1187" spans="2:19" ht="12.95" hidden="1" customHeight="1" x14ac:dyDescent="0.25">
      <c r="B1187" s="16">
        <v>43339.083333333336</v>
      </c>
      <c r="C1187" s="50" t="s">
        <v>1138</v>
      </c>
      <c r="D1187" s="34"/>
      <c r="E1187" s="37">
        <v>2831987</v>
      </c>
      <c r="F1187" s="37"/>
      <c r="G1187" s="37">
        <f t="shared" si="210"/>
        <v>2831987</v>
      </c>
      <c r="H1187" s="64"/>
      <c r="I1187" s="64"/>
      <c r="J1187" s="64"/>
      <c r="K1187" s="18">
        <f t="shared" si="211"/>
        <v>2831987</v>
      </c>
      <c r="L1187" s="19">
        <f t="shared" si="212"/>
        <v>40008013</v>
      </c>
      <c r="M1187" s="20"/>
      <c r="N1187" s="20"/>
      <c r="O1187" s="81">
        <f>+L1189-'[1]ANEXO 7 - PPTO VIG 2018'!T71</f>
        <v>0</v>
      </c>
      <c r="P1187" s="55"/>
      <c r="Q1187" s="55"/>
      <c r="R1187" s="14"/>
      <c r="S1187" s="14"/>
    </row>
    <row r="1188" spans="2:19" ht="12.95" hidden="1" customHeight="1" x14ac:dyDescent="0.25">
      <c r="B1188" s="16">
        <v>43369.083333333336</v>
      </c>
      <c r="C1188" s="50" t="s">
        <v>1139</v>
      </c>
      <c r="D1188" s="34"/>
      <c r="E1188" s="37">
        <v>9360000</v>
      </c>
      <c r="F1188" s="37"/>
      <c r="G1188" s="37">
        <f>+E1188</f>
        <v>9360000</v>
      </c>
      <c r="H1188" s="64">
        <v>224168.1</v>
      </c>
      <c r="I1188" s="37">
        <v>504068.41</v>
      </c>
      <c r="J1188" s="64">
        <v>72182.12</v>
      </c>
      <c r="K1188" s="18">
        <f t="shared" si="211"/>
        <v>8559581.370000001</v>
      </c>
      <c r="L1188" s="19">
        <f t="shared" si="212"/>
        <v>30648013</v>
      </c>
      <c r="M1188" s="20"/>
      <c r="N1188" s="20"/>
      <c r="O1188" s="81"/>
      <c r="P1188" s="55"/>
      <c r="Q1188" s="55"/>
      <c r="R1188" s="14"/>
      <c r="S1188" s="14"/>
    </row>
    <row r="1189" spans="2:19" ht="12.95" hidden="1" customHeight="1" x14ac:dyDescent="0.25">
      <c r="B1189" s="16">
        <v>43369.083333333336</v>
      </c>
      <c r="C1189" s="50" t="s">
        <v>654</v>
      </c>
      <c r="D1189" s="34"/>
      <c r="E1189" s="37">
        <v>30648013</v>
      </c>
      <c r="F1189" s="37"/>
      <c r="G1189" s="37">
        <v>0</v>
      </c>
      <c r="H1189" s="64"/>
      <c r="I1189" s="37"/>
      <c r="J1189" s="64"/>
      <c r="K1189" s="18"/>
      <c r="L1189" s="19">
        <f>+L1188-E1189</f>
        <v>0</v>
      </c>
      <c r="M1189" s="20"/>
      <c r="N1189" s="20"/>
      <c r="O1189" s="81"/>
      <c r="P1189" s="55"/>
      <c r="Q1189" s="55"/>
      <c r="R1189" s="14"/>
      <c r="S1189" s="14"/>
    </row>
    <row r="1190" spans="2:19" ht="12.75" hidden="1" customHeight="1" x14ac:dyDescent="0.25">
      <c r="B1190" s="9" t="s">
        <v>1140</v>
      </c>
      <c r="C1190" s="10"/>
      <c r="D1190" s="11">
        <v>1500000000</v>
      </c>
      <c r="E1190" s="11">
        <f>+D1190</f>
        <v>1500000000</v>
      </c>
      <c r="F1190" s="11"/>
      <c r="G1190" s="11"/>
      <c r="H1190" s="11"/>
      <c r="I1190" s="11"/>
      <c r="J1190" s="11"/>
      <c r="K1190" s="11"/>
      <c r="L1190" s="11">
        <f>+D1190</f>
        <v>1500000000</v>
      </c>
      <c r="M1190" s="12"/>
      <c r="N1190" s="12"/>
      <c r="P1190" s="55"/>
      <c r="Q1190" s="55"/>
      <c r="R1190" s="14"/>
      <c r="S1190" s="14"/>
    </row>
    <row r="1191" spans="2:19" ht="12.95" hidden="1" customHeight="1" x14ac:dyDescent="0.25">
      <c r="B1191" s="16">
        <v>43173.083333333336</v>
      </c>
      <c r="C1191" s="50" t="s">
        <v>1141</v>
      </c>
      <c r="D1191" s="34"/>
      <c r="E1191" s="37">
        <v>500000000</v>
      </c>
      <c r="F1191" s="37"/>
      <c r="G1191" s="37">
        <f>+E1191</f>
        <v>500000000</v>
      </c>
      <c r="H1191" s="64"/>
      <c r="I1191" s="64"/>
      <c r="J1191" s="64"/>
      <c r="K1191" s="18">
        <f>+G1191-H1191-I1191-J1191</f>
        <v>500000000</v>
      </c>
      <c r="L1191" s="19">
        <f>+L1190-G1191</f>
        <v>1000000000</v>
      </c>
      <c r="M1191" s="20"/>
      <c r="N1191" s="20"/>
      <c r="O1191" s="81"/>
      <c r="P1191" s="55"/>
      <c r="Q1191" s="55"/>
      <c r="R1191" s="14"/>
      <c r="S1191" s="14"/>
    </row>
    <row r="1192" spans="2:19" ht="12.95" hidden="1" customHeight="1" x14ac:dyDescent="0.25">
      <c r="B1192" s="16">
        <v>43320.083333333336</v>
      </c>
      <c r="C1192" s="50" t="s">
        <v>1142</v>
      </c>
      <c r="D1192" s="34"/>
      <c r="E1192" s="37">
        <v>500000000</v>
      </c>
      <c r="F1192" s="37"/>
      <c r="G1192" s="37">
        <f>+E1192</f>
        <v>500000000</v>
      </c>
      <c r="H1192" s="64"/>
      <c r="I1192" s="64"/>
      <c r="J1192" s="64"/>
      <c r="K1192" s="18">
        <f>+G1192-H1192-I1192-J1192</f>
        <v>500000000</v>
      </c>
      <c r="L1192" s="19">
        <f>+L1191-G1192</f>
        <v>500000000</v>
      </c>
      <c r="M1192" s="20"/>
      <c r="N1192" s="20"/>
      <c r="O1192" s="81">
        <f>+L1193-'[1]ANEXO 7 - PPTO VIG 2018'!T10-'[1]ANEXO 7 - PPTO VIG 2018'!T20-'[1]ANEXO 7 - PPTO VIG 2018'!T63</f>
        <v>0</v>
      </c>
      <c r="P1192" s="55"/>
      <c r="Q1192" s="55"/>
      <c r="R1192" s="14"/>
      <c r="S1192" s="14"/>
    </row>
    <row r="1193" spans="2:19" ht="12.95" hidden="1" customHeight="1" x14ac:dyDescent="0.25">
      <c r="B1193" s="16">
        <v>43481.125</v>
      </c>
      <c r="C1193" s="50" t="s">
        <v>1143</v>
      </c>
      <c r="D1193" s="34"/>
      <c r="E1193" s="37">
        <v>500000000</v>
      </c>
      <c r="F1193" s="37"/>
      <c r="G1193" s="37">
        <f>+E1193</f>
        <v>500000000</v>
      </c>
      <c r="H1193" s="64"/>
      <c r="I1193" s="64"/>
      <c r="J1193" s="64"/>
      <c r="K1193" s="18">
        <f>+G1193-H1193-I1193-J1193</f>
        <v>500000000</v>
      </c>
      <c r="L1193" s="19">
        <f>+L1192-G1193</f>
        <v>0</v>
      </c>
      <c r="M1193" s="20"/>
      <c r="N1193" s="20"/>
      <c r="O1193" s="81"/>
      <c r="P1193" s="55"/>
      <c r="Q1193" s="55"/>
      <c r="R1193" s="14"/>
      <c r="S1193" s="14"/>
    </row>
    <row r="1194" spans="2:19" ht="12.95" hidden="1" customHeight="1" x14ac:dyDescent="0.25">
      <c r="B1194" s="9" t="s">
        <v>1144</v>
      </c>
      <c r="C1194" s="10"/>
      <c r="D1194" s="11">
        <v>49000000</v>
      </c>
      <c r="E1194" s="11">
        <f>+D1194</f>
        <v>49000000</v>
      </c>
      <c r="F1194" s="11"/>
      <c r="G1194" s="11"/>
      <c r="H1194" s="11"/>
      <c r="I1194" s="11"/>
      <c r="J1194" s="11"/>
      <c r="K1194" s="11"/>
      <c r="L1194" s="11">
        <f>+D1194</f>
        <v>49000000</v>
      </c>
      <c r="M1194" s="12"/>
      <c r="N1194" s="12"/>
      <c r="P1194" s="55"/>
      <c r="Q1194" s="55"/>
      <c r="R1194" s="14"/>
      <c r="S1194" s="14"/>
    </row>
    <row r="1195" spans="2:19" ht="12.95" hidden="1" customHeight="1" x14ac:dyDescent="0.25">
      <c r="B1195" s="16">
        <v>43174.083333333336</v>
      </c>
      <c r="C1195" s="50" t="s">
        <v>1145</v>
      </c>
      <c r="D1195" s="34"/>
      <c r="E1195" s="37">
        <v>7000000</v>
      </c>
      <c r="F1195" s="37"/>
      <c r="G1195" s="37">
        <f>+E1195</f>
        <v>7000000</v>
      </c>
      <c r="H1195" s="64"/>
      <c r="I1195" s="64">
        <v>157305.62</v>
      </c>
      <c r="J1195" s="64">
        <v>59911.32</v>
      </c>
      <c r="K1195" s="18">
        <f t="shared" ref="K1195:K1200" si="213">+G1195-H1195-I1195-J1195</f>
        <v>6782783.0599999996</v>
      </c>
      <c r="L1195" s="19">
        <f t="shared" ref="L1195:L1201" si="214">+L1194-G1195</f>
        <v>42000000</v>
      </c>
      <c r="M1195" s="20"/>
      <c r="N1195" s="20"/>
      <c r="O1195" s="81"/>
      <c r="P1195" s="55"/>
      <c r="Q1195" s="55"/>
      <c r="R1195" s="14"/>
      <c r="S1195" s="14"/>
    </row>
    <row r="1196" spans="2:19" ht="12.95" hidden="1" customHeight="1" x14ac:dyDescent="0.25">
      <c r="B1196" s="16">
        <v>43209.083333333336</v>
      </c>
      <c r="C1196" s="50" t="s">
        <v>1146</v>
      </c>
      <c r="D1196" s="34"/>
      <c r="E1196" s="37">
        <v>7000000</v>
      </c>
      <c r="F1196" s="37"/>
      <c r="G1196" s="37">
        <v>7000000</v>
      </c>
      <c r="H1196" s="64"/>
      <c r="I1196" s="64">
        <v>183474.46</v>
      </c>
      <c r="J1196" s="64">
        <v>59911.32</v>
      </c>
      <c r="K1196" s="18">
        <f t="shared" si="213"/>
        <v>6756614.2199999997</v>
      </c>
      <c r="L1196" s="19">
        <f t="shared" si="214"/>
        <v>35000000</v>
      </c>
      <c r="M1196" s="20"/>
      <c r="N1196" s="20"/>
      <c r="O1196" s="81"/>
      <c r="P1196" s="55"/>
      <c r="Q1196" s="55"/>
      <c r="R1196" s="14"/>
      <c r="S1196" s="14"/>
    </row>
    <row r="1197" spans="2:19" ht="12.95" hidden="1" customHeight="1" x14ac:dyDescent="0.25">
      <c r="B1197" s="16">
        <v>43241.083333333336</v>
      </c>
      <c r="C1197" s="50" t="s">
        <v>1147</v>
      </c>
      <c r="D1197" s="34"/>
      <c r="E1197" s="37">
        <v>7000000</v>
      </c>
      <c r="F1197" s="37"/>
      <c r="G1197" s="37">
        <v>7000000</v>
      </c>
      <c r="H1197" s="64"/>
      <c r="I1197" s="64">
        <v>183474.46</v>
      </c>
      <c r="J1197" s="64">
        <v>59911.32</v>
      </c>
      <c r="K1197" s="18">
        <f t="shared" si="213"/>
        <v>6756614.2199999997</v>
      </c>
      <c r="L1197" s="19">
        <f t="shared" si="214"/>
        <v>28000000</v>
      </c>
      <c r="M1197" s="20"/>
      <c r="N1197" s="20"/>
      <c r="O1197" s="81"/>
      <c r="P1197" s="55"/>
      <c r="Q1197" s="55"/>
      <c r="R1197" s="14"/>
      <c r="S1197" s="14"/>
    </row>
    <row r="1198" spans="2:19" ht="12.95" hidden="1" customHeight="1" x14ac:dyDescent="0.25">
      <c r="B1198" s="16">
        <v>43258.083333333336</v>
      </c>
      <c r="C1198" s="50" t="s">
        <v>1148</v>
      </c>
      <c r="D1198" s="34"/>
      <c r="E1198" s="37">
        <v>7000000</v>
      </c>
      <c r="F1198" s="37"/>
      <c r="G1198" s="37">
        <v>7000000</v>
      </c>
      <c r="H1198" s="64"/>
      <c r="I1198" s="64">
        <v>183474.46</v>
      </c>
      <c r="J1198" s="64">
        <v>59911.32</v>
      </c>
      <c r="K1198" s="18">
        <f t="shared" si="213"/>
        <v>6756614.2199999997</v>
      </c>
      <c r="L1198" s="19">
        <f t="shared" si="214"/>
        <v>21000000</v>
      </c>
      <c r="M1198" s="20"/>
      <c r="N1198" s="20"/>
      <c r="O1198" s="81"/>
      <c r="P1198" s="55"/>
      <c r="Q1198" s="55"/>
      <c r="R1198" s="14"/>
      <c r="S1198" s="14"/>
    </row>
    <row r="1199" spans="2:19" ht="12.95" hidden="1" customHeight="1" x14ac:dyDescent="0.25">
      <c r="B1199" s="16">
        <v>43290.083333333336</v>
      </c>
      <c r="C1199" s="50" t="s">
        <v>1149</v>
      </c>
      <c r="D1199" s="34"/>
      <c r="E1199" s="37">
        <v>7000000</v>
      </c>
      <c r="F1199" s="37"/>
      <c r="G1199" s="37">
        <v>7000000</v>
      </c>
      <c r="H1199" s="64"/>
      <c r="I1199" s="64">
        <v>183474.46</v>
      </c>
      <c r="J1199" s="64">
        <v>59911.32</v>
      </c>
      <c r="K1199" s="18">
        <f t="shared" si="213"/>
        <v>6756614.2199999997</v>
      </c>
      <c r="L1199" s="19">
        <f t="shared" si="214"/>
        <v>14000000</v>
      </c>
      <c r="M1199" s="20"/>
      <c r="N1199" s="20"/>
      <c r="O1199" s="81"/>
      <c r="P1199" s="55"/>
      <c r="Q1199" s="55"/>
      <c r="R1199" s="14"/>
      <c r="S1199" s="14"/>
    </row>
    <row r="1200" spans="2:19" ht="12.95" hidden="1" customHeight="1" x14ac:dyDescent="0.25">
      <c r="B1200" s="16">
        <v>43322.083333333336</v>
      </c>
      <c r="C1200" s="50" t="s">
        <v>1150</v>
      </c>
      <c r="D1200" s="34"/>
      <c r="E1200" s="37">
        <v>7000000</v>
      </c>
      <c r="F1200" s="37"/>
      <c r="G1200" s="37">
        <v>7000000</v>
      </c>
      <c r="H1200" s="64"/>
      <c r="I1200" s="64">
        <v>183474.46</v>
      </c>
      <c r="J1200" s="64">
        <v>59911.32</v>
      </c>
      <c r="K1200" s="18">
        <f t="shared" si="213"/>
        <v>6756614.2199999997</v>
      </c>
      <c r="L1200" s="19">
        <f t="shared" si="214"/>
        <v>7000000</v>
      </c>
      <c r="M1200" s="20"/>
      <c r="N1200" s="20"/>
      <c r="O1200" s="81">
        <f>+L1201-'[1]ANEXO 7 - PPTO VIG 2018'!T72</f>
        <v>0</v>
      </c>
      <c r="P1200" s="55"/>
      <c r="Q1200" s="55"/>
      <c r="R1200" s="14"/>
      <c r="S1200" s="14"/>
    </row>
    <row r="1201" spans="2:19" ht="12.95" hidden="1" customHeight="1" x14ac:dyDescent="0.25">
      <c r="B1201" s="16">
        <v>43362.083333333336</v>
      </c>
      <c r="C1201" s="50" t="s">
        <v>1151</v>
      </c>
      <c r="D1201" s="34"/>
      <c r="E1201" s="37">
        <v>7000000</v>
      </c>
      <c r="F1201" s="37"/>
      <c r="G1201" s="37">
        <v>7000000</v>
      </c>
      <c r="H1201" s="64"/>
      <c r="I1201" s="37">
        <v>183474.46</v>
      </c>
      <c r="J1201" s="64">
        <v>59911.32</v>
      </c>
      <c r="K1201" s="18">
        <f>+G1201-H1201-I1201-J1201</f>
        <v>6756614.2199999997</v>
      </c>
      <c r="L1201" s="19">
        <f t="shared" si="214"/>
        <v>0</v>
      </c>
      <c r="M1201" s="20"/>
      <c r="N1201" s="20"/>
      <c r="O1201" s="81"/>
      <c r="P1201" s="55"/>
      <c r="Q1201" s="55"/>
      <c r="R1201" s="14"/>
      <c r="S1201" s="14"/>
    </row>
    <row r="1202" spans="2:19" ht="12.95" hidden="1" customHeight="1" x14ac:dyDescent="0.25">
      <c r="B1202" s="9" t="s">
        <v>1152</v>
      </c>
      <c r="C1202" s="10"/>
      <c r="D1202" s="11">
        <v>78000000</v>
      </c>
      <c r="E1202" s="11">
        <f>+D1202</f>
        <v>78000000</v>
      </c>
      <c r="F1202" s="11"/>
      <c r="G1202" s="11"/>
      <c r="H1202" s="11"/>
      <c r="I1202" s="11"/>
      <c r="J1202" s="11"/>
      <c r="K1202" s="11"/>
      <c r="L1202" s="11">
        <f>+D1202</f>
        <v>78000000</v>
      </c>
      <c r="M1202" s="12"/>
      <c r="N1202" s="12"/>
      <c r="P1202" s="55"/>
      <c r="Q1202" s="55"/>
      <c r="R1202" s="14"/>
      <c r="S1202" s="14"/>
    </row>
    <row r="1203" spans="2:19" ht="12.95" hidden="1" customHeight="1" x14ac:dyDescent="0.25">
      <c r="B1203" s="16">
        <v>43174.083333333336</v>
      </c>
      <c r="C1203" s="50" t="s">
        <v>1153</v>
      </c>
      <c r="D1203" s="34"/>
      <c r="E1203" s="37">
        <v>5000000</v>
      </c>
      <c r="F1203" s="37"/>
      <c r="G1203" s="37">
        <f t="shared" ref="G1203:G1211" si="215">+E1203</f>
        <v>5000000</v>
      </c>
      <c r="H1203" s="64"/>
      <c r="I1203" s="64">
        <v>31321.51</v>
      </c>
      <c r="J1203" s="64">
        <v>42793.8</v>
      </c>
      <c r="K1203" s="18">
        <f t="shared" ref="K1203:K1214" si="216">+G1203-H1203-I1203-J1203</f>
        <v>4925884.6900000004</v>
      </c>
      <c r="L1203" s="19">
        <f t="shared" ref="L1203:L1214" si="217">+L1202-G1203</f>
        <v>73000000</v>
      </c>
      <c r="M1203" s="20"/>
      <c r="N1203" s="20"/>
      <c r="O1203" s="81"/>
      <c r="P1203" s="55"/>
      <c r="Q1203" s="55"/>
      <c r="R1203" s="14"/>
      <c r="S1203" s="14"/>
    </row>
    <row r="1204" spans="2:19" ht="12.95" hidden="1" customHeight="1" x14ac:dyDescent="0.25">
      <c r="B1204" s="16">
        <v>43202.083333333336</v>
      </c>
      <c r="C1204" s="50" t="s">
        <v>1154</v>
      </c>
      <c r="D1204" s="34"/>
      <c r="E1204" s="37">
        <v>5000000</v>
      </c>
      <c r="F1204" s="37"/>
      <c r="G1204" s="37">
        <f t="shared" si="215"/>
        <v>5000000</v>
      </c>
      <c r="H1204" s="64"/>
      <c r="I1204" s="64">
        <v>31321.51</v>
      </c>
      <c r="J1204" s="64">
        <v>42793.8</v>
      </c>
      <c r="K1204" s="18">
        <f t="shared" si="216"/>
        <v>4925884.6900000004</v>
      </c>
      <c r="L1204" s="19">
        <f t="shared" si="217"/>
        <v>68000000</v>
      </c>
      <c r="M1204" s="20"/>
      <c r="N1204" s="20"/>
      <c r="O1204" s="81"/>
      <c r="P1204" s="55"/>
      <c r="Q1204" s="55"/>
      <c r="R1204" s="14"/>
      <c r="S1204" s="14"/>
    </row>
    <row r="1205" spans="2:19" ht="12.95" hidden="1" customHeight="1" x14ac:dyDescent="0.25">
      <c r="B1205" s="16">
        <v>43230</v>
      </c>
      <c r="C1205" s="50" t="s">
        <v>1155</v>
      </c>
      <c r="D1205" s="34"/>
      <c r="E1205" s="37">
        <v>5000000</v>
      </c>
      <c r="F1205" s="37"/>
      <c r="G1205" s="37">
        <f t="shared" si="215"/>
        <v>5000000</v>
      </c>
      <c r="H1205" s="64"/>
      <c r="I1205" s="64">
        <v>31321.51</v>
      </c>
      <c r="J1205" s="64">
        <v>42793.8</v>
      </c>
      <c r="K1205" s="18">
        <f t="shared" si="216"/>
        <v>4925884.6900000004</v>
      </c>
      <c r="L1205" s="19">
        <f t="shared" si="217"/>
        <v>63000000</v>
      </c>
      <c r="M1205" s="20"/>
      <c r="N1205" s="20"/>
      <c r="O1205" s="81"/>
      <c r="P1205" s="55"/>
      <c r="Q1205" s="55"/>
      <c r="R1205" s="14"/>
      <c r="S1205" s="14"/>
    </row>
    <row r="1206" spans="2:19" ht="12.95" hidden="1" customHeight="1" x14ac:dyDescent="0.25">
      <c r="B1206" s="16">
        <v>43258.083333333336</v>
      </c>
      <c r="C1206" s="50" t="s">
        <v>1156</v>
      </c>
      <c r="D1206" s="34"/>
      <c r="E1206" s="37">
        <v>5000000</v>
      </c>
      <c r="F1206" s="37"/>
      <c r="G1206" s="37">
        <f t="shared" si="215"/>
        <v>5000000</v>
      </c>
      <c r="H1206" s="64"/>
      <c r="I1206" s="64">
        <v>31321.51</v>
      </c>
      <c r="J1206" s="64">
        <v>42793.8</v>
      </c>
      <c r="K1206" s="18">
        <f t="shared" si="216"/>
        <v>4925884.6900000004</v>
      </c>
      <c r="L1206" s="19">
        <f t="shared" si="217"/>
        <v>58000000</v>
      </c>
      <c r="M1206" s="20"/>
      <c r="N1206" s="20"/>
      <c r="O1206" s="81"/>
      <c r="P1206" s="55"/>
      <c r="Q1206" s="55"/>
      <c r="R1206" s="14"/>
      <c r="S1206" s="14"/>
    </row>
    <row r="1207" spans="2:19" ht="12.95" hidden="1" customHeight="1" x14ac:dyDescent="0.25">
      <c r="B1207" s="16">
        <v>43293.083333333336</v>
      </c>
      <c r="C1207" s="50" t="s">
        <v>1157</v>
      </c>
      <c r="D1207" s="34"/>
      <c r="E1207" s="37">
        <v>5000000</v>
      </c>
      <c r="F1207" s="37"/>
      <c r="G1207" s="37">
        <f t="shared" si="215"/>
        <v>5000000</v>
      </c>
      <c r="H1207" s="64"/>
      <c r="I1207" s="64">
        <v>31321.51</v>
      </c>
      <c r="J1207" s="64">
        <v>42793.8</v>
      </c>
      <c r="K1207" s="18">
        <f t="shared" si="216"/>
        <v>4925884.6900000004</v>
      </c>
      <c r="L1207" s="19">
        <f t="shared" si="217"/>
        <v>53000000</v>
      </c>
      <c r="M1207" s="20"/>
      <c r="N1207" s="20"/>
      <c r="O1207" s="81"/>
      <c r="P1207" s="55"/>
      <c r="Q1207" s="55"/>
      <c r="R1207" s="14"/>
      <c r="S1207" s="14"/>
    </row>
    <row r="1208" spans="2:19" ht="12.95" hidden="1" customHeight="1" x14ac:dyDescent="0.25">
      <c r="B1208" s="16">
        <v>43321.083333333336</v>
      </c>
      <c r="C1208" s="50" t="s">
        <v>1158</v>
      </c>
      <c r="D1208" s="34"/>
      <c r="E1208" s="37">
        <v>5000000</v>
      </c>
      <c r="F1208" s="37"/>
      <c r="G1208" s="37">
        <f t="shared" si="215"/>
        <v>5000000</v>
      </c>
      <c r="H1208" s="64"/>
      <c r="I1208" s="64">
        <v>31321.51</v>
      </c>
      <c r="J1208" s="64">
        <v>42793.8</v>
      </c>
      <c r="K1208" s="18">
        <f t="shared" si="216"/>
        <v>4925884.6900000004</v>
      </c>
      <c r="L1208" s="19">
        <f t="shared" si="217"/>
        <v>48000000</v>
      </c>
      <c r="M1208" s="20"/>
      <c r="N1208" s="20"/>
      <c r="O1208" s="81">
        <f>+L1215-'[1]ANEXO 7 - PPTO VIG 2018'!T31</f>
        <v>0</v>
      </c>
      <c r="P1208" s="55"/>
      <c r="Q1208" s="55"/>
      <c r="R1208" s="14"/>
      <c r="S1208" s="14"/>
    </row>
    <row r="1209" spans="2:19" ht="12.95" hidden="1" customHeight="1" x14ac:dyDescent="0.25">
      <c r="B1209" s="16">
        <v>43353.083333333336</v>
      </c>
      <c r="C1209" s="50" t="s">
        <v>1159</v>
      </c>
      <c r="D1209" s="34"/>
      <c r="E1209" s="37">
        <v>5000000</v>
      </c>
      <c r="F1209" s="37"/>
      <c r="G1209" s="37">
        <f t="shared" si="215"/>
        <v>5000000</v>
      </c>
      <c r="H1209" s="64"/>
      <c r="I1209" s="37">
        <v>31321.51</v>
      </c>
      <c r="J1209" s="64">
        <v>42793.8</v>
      </c>
      <c r="K1209" s="18">
        <f t="shared" si="216"/>
        <v>4925884.6900000004</v>
      </c>
      <c r="L1209" s="19">
        <f t="shared" si="217"/>
        <v>43000000</v>
      </c>
      <c r="M1209" s="20"/>
      <c r="N1209" s="20"/>
      <c r="O1209" s="81"/>
      <c r="P1209" s="55"/>
      <c r="Q1209" s="55"/>
      <c r="R1209" s="14"/>
      <c r="S1209" s="14"/>
    </row>
    <row r="1210" spans="2:19" ht="12.95" hidden="1" customHeight="1" x14ac:dyDescent="0.25">
      <c r="B1210" s="16">
        <v>43389.083333333336</v>
      </c>
      <c r="C1210" s="50" t="s">
        <v>1160</v>
      </c>
      <c r="D1210" s="34"/>
      <c r="E1210" s="37">
        <v>5000000</v>
      </c>
      <c r="F1210" s="37"/>
      <c r="G1210" s="37">
        <f t="shared" si="215"/>
        <v>5000000</v>
      </c>
      <c r="H1210" s="64"/>
      <c r="I1210" s="64">
        <v>31312.959999999999</v>
      </c>
      <c r="J1210" s="64">
        <v>42793.8</v>
      </c>
      <c r="K1210" s="18">
        <f t="shared" si="216"/>
        <v>4925893.24</v>
      </c>
      <c r="L1210" s="19">
        <f t="shared" si="217"/>
        <v>38000000</v>
      </c>
      <c r="M1210" s="20"/>
      <c r="N1210" s="20"/>
      <c r="O1210" s="81"/>
      <c r="P1210" s="55"/>
      <c r="Q1210" s="55"/>
      <c r="R1210" s="14"/>
      <c r="S1210" s="14"/>
    </row>
    <row r="1211" spans="2:19" ht="12.95" hidden="1" customHeight="1" x14ac:dyDescent="0.25">
      <c r="B1211" s="16">
        <v>43389.083333333336</v>
      </c>
      <c r="C1211" s="50" t="s">
        <v>1161</v>
      </c>
      <c r="D1211" s="34"/>
      <c r="E1211" s="37">
        <v>1052759</v>
      </c>
      <c r="F1211" s="37"/>
      <c r="G1211" s="37">
        <f t="shared" si="215"/>
        <v>1052759</v>
      </c>
      <c r="H1211" s="64"/>
      <c r="I1211" s="37"/>
      <c r="J1211" s="64"/>
      <c r="K1211" s="18">
        <f t="shared" si="216"/>
        <v>1052759</v>
      </c>
      <c r="L1211" s="19">
        <f t="shared" si="217"/>
        <v>36947241</v>
      </c>
      <c r="M1211" s="20"/>
      <c r="N1211" s="20"/>
      <c r="O1211" s="81"/>
      <c r="P1211" s="55"/>
      <c r="Q1211" s="55"/>
      <c r="R1211" s="14"/>
      <c r="S1211" s="14"/>
    </row>
    <row r="1212" spans="2:19" ht="12.95" hidden="1" customHeight="1" x14ac:dyDescent="0.25">
      <c r="B1212" s="16">
        <v>43417.125</v>
      </c>
      <c r="C1212" s="50" t="s">
        <v>1162</v>
      </c>
      <c r="D1212" s="34"/>
      <c r="E1212" s="37">
        <v>5000000</v>
      </c>
      <c r="F1212" s="37"/>
      <c r="G1212" s="37">
        <f>+E1212</f>
        <v>5000000</v>
      </c>
      <c r="H1212" s="64"/>
      <c r="I1212" s="64">
        <v>31312.959999999999</v>
      </c>
      <c r="J1212" s="64">
        <v>42793.8</v>
      </c>
      <c r="K1212" s="18">
        <f t="shared" si="216"/>
        <v>4925893.24</v>
      </c>
      <c r="L1212" s="19">
        <f t="shared" si="217"/>
        <v>31947241</v>
      </c>
      <c r="M1212" s="20"/>
      <c r="N1212" s="20"/>
      <c r="O1212" s="81"/>
      <c r="P1212" s="55"/>
      <c r="Q1212" s="55"/>
      <c r="R1212" s="14"/>
      <c r="S1212" s="14"/>
    </row>
    <row r="1213" spans="2:19" ht="12.95" hidden="1" customHeight="1" x14ac:dyDescent="0.25">
      <c r="B1213" s="16">
        <v>43453.125</v>
      </c>
      <c r="C1213" s="50" t="s">
        <v>1163</v>
      </c>
      <c r="D1213" s="34"/>
      <c r="E1213" s="37">
        <v>5000000</v>
      </c>
      <c r="F1213" s="37"/>
      <c r="G1213" s="37">
        <f>+E1213</f>
        <v>5000000</v>
      </c>
      <c r="H1213" s="64"/>
      <c r="I1213" s="64">
        <v>31312.959999999999</v>
      </c>
      <c r="J1213" s="64">
        <v>42793.8</v>
      </c>
      <c r="K1213" s="18">
        <f t="shared" si="216"/>
        <v>4925893.24</v>
      </c>
      <c r="L1213" s="19">
        <f t="shared" si="217"/>
        <v>26947241</v>
      </c>
      <c r="M1213" s="20"/>
      <c r="N1213" s="20"/>
      <c r="O1213" s="81"/>
      <c r="P1213" s="55"/>
      <c r="Q1213" s="55"/>
      <c r="R1213" s="14"/>
      <c r="S1213" s="14"/>
    </row>
    <row r="1214" spans="2:19" ht="12.95" hidden="1" customHeight="1" x14ac:dyDescent="0.25">
      <c r="B1214" s="16">
        <v>43488.125</v>
      </c>
      <c r="C1214" s="50" t="s">
        <v>1164</v>
      </c>
      <c r="D1214" s="34"/>
      <c r="E1214" s="37">
        <v>5000000</v>
      </c>
      <c r="F1214" s="37"/>
      <c r="G1214" s="37">
        <f>+E1214</f>
        <v>5000000</v>
      </c>
      <c r="H1214" s="64"/>
      <c r="I1214" s="64">
        <v>11205.26</v>
      </c>
      <c r="J1214" s="64">
        <v>42793.8</v>
      </c>
      <c r="K1214" s="18">
        <f t="shared" si="216"/>
        <v>4946000.9400000004</v>
      </c>
      <c r="L1214" s="19">
        <f t="shared" si="217"/>
        <v>21947241</v>
      </c>
      <c r="M1214" s="20"/>
      <c r="N1214" s="20"/>
      <c r="O1214" s="81"/>
      <c r="P1214" s="55"/>
      <c r="Q1214" s="55"/>
      <c r="R1214" s="14"/>
      <c r="S1214" s="14"/>
    </row>
    <row r="1215" spans="2:19" ht="12.95" hidden="1" customHeight="1" x14ac:dyDescent="0.25">
      <c r="B1215" s="16">
        <v>43488.125</v>
      </c>
      <c r="C1215" s="50" t="s">
        <v>654</v>
      </c>
      <c r="D1215" s="34"/>
      <c r="E1215" s="37">
        <v>21947241</v>
      </c>
      <c r="F1215" s="37"/>
      <c r="G1215" s="37"/>
      <c r="H1215" s="64"/>
      <c r="I1215" s="64"/>
      <c r="J1215" s="64"/>
      <c r="K1215" s="18"/>
      <c r="L1215" s="19">
        <f>+L1214-E1215</f>
        <v>0</v>
      </c>
      <c r="M1215" s="20"/>
      <c r="N1215" s="20"/>
      <c r="O1215" s="81"/>
      <c r="P1215" s="55"/>
      <c r="Q1215" s="55"/>
      <c r="R1215" s="14"/>
      <c r="S1215" s="14"/>
    </row>
    <row r="1216" spans="2:19" ht="12.95" hidden="1" customHeight="1" x14ac:dyDescent="0.25">
      <c r="B1216" s="9" t="s">
        <v>1165</v>
      </c>
      <c r="C1216" s="10"/>
      <c r="D1216" s="11">
        <v>40040000</v>
      </c>
      <c r="E1216" s="11">
        <f>+D1216</f>
        <v>40040000</v>
      </c>
      <c r="F1216" s="11"/>
      <c r="G1216" s="11"/>
      <c r="H1216" s="11"/>
      <c r="I1216" s="11"/>
      <c r="J1216" s="11"/>
      <c r="K1216" s="11"/>
      <c r="L1216" s="11">
        <f>+D1216</f>
        <v>40040000</v>
      </c>
      <c r="M1216" s="12"/>
      <c r="N1216" s="12"/>
      <c r="P1216" s="55"/>
      <c r="Q1216" s="55"/>
      <c r="R1216" s="14"/>
      <c r="S1216" s="14"/>
    </row>
    <row r="1217" spans="2:19" ht="12.95" hidden="1" customHeight="1" x14ac:dyDescent="0.25">
      <c r="B1217" s="16">
        <v>43173.083333333336</v>
      </c>
      <c r="C1217" s="50" t="s">
        <v>1166</v>
      </c>
      <c r="D1217" s="34"/>
      <c r="E1217" s="37">
        <v>3640000</v>
      </c>
      <c r="F1217" s="37"/>
      <c r="G1217" s="37">
        <f t="shared" ref="G1217:G1227" si="218">+E1217</f>
        <v>3640000</v>
      </c>
      <c r="H1217" s="64"/>
      <c r="I1217" s="64"/>
      <c r="J1217" s="64">
        <v>31153.89</v>
      </c>
      <c r="K1217" s="18">
        <f t="shared" ref="K1217:K1222" si="219">+G1217-H1217-I1217-J1217</f>
        <v>3608846.11</v>
      </c>
      <c r="L1217" s="19">
        <f t="shared" ref="L1217:L1227" si="220">+L1216-G1217</f>
        <v>36400000</v>
      </c>
      <c r="M1217" s="20"/>
      <c r="N1217" s="20"/>
      <c r="O1217" s="81"/>
      <c r="P1217" s="55"/>
      <c r="Q1217" s="55"/>
      <c r="R1217" s="14"/>
      <c r="S1217" s="14"/>
    </row>
    <row r="1218" spans="2:19" ht="12.95" hidden="1" customHeight="1" x14ac:dyDescent="0.25">
      <c r="B1218" s="16">
        <v>43203.083333333336</v>
      </c>
      <c r="C1218" s="50" t="s">
        <v>1167</v>
      </c>
      <c r="D1218" s="34"/>
      <c r="E1218" s="37">
        <v>3640000</v>
      </c>
      <c r="F1218" s="37"/>
      <c r="G1218" s="37">
        <f t="shared" si="218"/>
        <v>3640000</v>
      </c>
      <c r="H1218" s="64"/>
      <c r="I1218" s="64"/>
      <c r="J1218" s="64">
        <v>31153.89</v>
      </c>
      <c r="K1218" s="18">
        <f t="shared" si="219"/>
        <v>3608846.11</v>
      </c>
      <c r="L1218" s="19">
        <f t="shared" si="220"/>
        <v>32760000</v>
      </c>
      <c r="M1218" s="20"/>
      <c r="N1218" s="20"/>
      <c r="O1218" s="81"/>
      <c r="P1218" s="55"/>
      <c r="Q1218" s="55"/>
      <c r="R1218" s="14"/>
      <c r="S1218" s="14"/>
    </row>
    <row r="1219" spans="2:19" ht="12.95" hidden="1" customHeight="1" x14ac:dyDescent="0.25">
      <c r="B1219" s="16">
        <v>43230</v>
      </c>
      <c r="C1219" s="50" t="s">
        <v>1168</v>
      </c>
      <c r="D1219" s="34"/>
      <c r="E1219" s="37">
        <v>3640000</v>
      </c>
      <c r="F1219" s="37"/>
      <c r="G1219" s="37">
        <f t="shared" si="218"/>
        <v>3640000</v>
      </c>
      <c r="H1219" s="64"/>
      <c r="I1219" s="64"/>
      <c r="J1219" s="64">
        <v>31153.89</v>
      </c>
      <c r="K1219" s="18">
        <f t="shared" si="219"/>
        <v>3608846.11</v>
      </c>
      <c r="L1219" s="19">
        <f t="shared" si="220"/>
        <v>29120000</v>
      </c>
      <c r="M1219" s="20"/>
      <c r="N1219" s="20"/>
      <c r="O1219" s="81"/>
      <c r="P1219" s="55"/>
      <c r="Q1219" s="55"/>
      <c r="R1219" s="14"/>
      <c r="S1219" s="14"/>
    </row>
    <row r="1220" spans="2:19" ht="12.95" hidden="1" customHeight="1" x14ac:dyDescent="0.25">
      <c r="B1220" s="16">
        <v>43270.083333333336</v>
      </c>
      <c r="C1220" s="50" t="s">
        <v>1169</v>
      </c>
      <c r="D1220" s="34"/>
      <c r="E1220" s="37">
        <v>3640000</v>
      </c>
      <c r="F1220" s="37"/>
      <c r="G1220" s="37">
        <f t="shared" si="218"/>
        <v>3640000</v>
      </c>
      <c r="H1220" s="64"/>
      <c r="I1220" s="64"/>
      <c r="J1220" s="64">
        <v>31153.89</v>
      </c>
      <c r="K1220" s="18">
        <f t="shared" si="219"/>
        <v>3608846.11</v>
      </c>
      <c r="L1220" s="19">
        <f t="shared" si="220"/>
        <v>25480000</v>
      </c>
      <c r="M1220" s="20"/>
      <c r="N1220" s="20"/>
      <c r="O1220" s="81"/>
      <c r="P1220" s="55"/>
      <c r="Q1220" s="55"/>
      <c r="R1220" s="14"/>
      <c r="S1220" s="14"/>
    </row>
    <row r="1221" spans="2:19" ht="12.95" hidden="1" customHeight="1" x14ac:dyDescent="0.25">
      <c r="B1221" s="16">
        <v>43304.083333333336</v>
      </c>
      <c r="C1221" s="50" t="s">
        <v>1170</v>
      </c>
      <c r="D1221" s="34"/>
      <c r="E1221" s="37">
        <v>3640000</v>
      </c>
      <c r="F1221" s="37"/>
      <c r="G1221" s="37">
        <f t="shared" si="218"/>
        <v>3640000</v>
      </c>
      <c r="H1221" s="64"/>
      <c r="I1221" s="64"/>
      <c r="J1221" s="64">
        <v>31153.89</v>
      </c>
      <c r="K1221" s="18">
        <f t="shared" si="219"/>
        <v>3608846.11</v>
      </c>
      <c r="L1221" s="19">
        <f t="shared" si="220"/>
        <v>21840000</v>
      </c>
      <c r="M1221" s="20"/>
      <c r="N1221" s="20"/>
      <c r="O1221" s="81">
        <f>+L1227-'[1]ANEXO 7 - PPTO VIG 2018'!T73</f>
        <v>0</v>
      </c>
      <c r="P1221" s="55"/>
      <c r="Q1221" s="55"/>
      <c r="R1221" s="14"/>
      <c r="S1221" s="14"/>
    </row>
    <row r="1222" spans="2:19" ht="12.95" hidden="1" customHeight="1" x14ac:dyDescent="0.25">
      <c r="B1222" s="16">
        <v>43339.083333333336</v>
      </c>
      <c r="C1222" s="50" t="s">
        <v>1171</v>
      </c>
      <c r="D1222" s="34"/>
      <c r="E1222" s="37">
        <v>3640000</v>
      </c>
      <c r="F1222" s="37"/>
      <c r="G1222" s="37">
        <f t="shared" si="218"/>
        <v>3640000</v>
      </c>
      <c r="H1222" s="64"/>
      <c r="I1222" s="64"/>
      <c r="J1222" s="64">
        <v>31153.89</v>
      </c>
      <c r="K1222" s="18">
        <f t="shared" si="219"/>
        <v>3608846.11</v>
      </c>
      <c r="L1222" s="19">
        <f t="shared" si="220"/>
        <v>18200000</v>
      </c>
      <c r="M1222" s="20"/>
      <c r="N1222" s="20"/>
      <c r="O1222" s="81"/>
      <c r="P1222" s="55"/>
      <c r="Q1222" s="55"/>
      <c r="R1222" s="14"/>
      <c r="S1222" s="14"/>
    </row>
    <row r="1223" spans="2:19" ht="12.95" hidden="1" customHeight="1" x14ac:dyDescent="0.25">
      <c r="B1223" s="16">
        <v>43353.083333333336</v>
      </c>
      <c r="C1223" s="50" t="s">
        <v>1172</v>
      </c>
      <c r="D1223" s="34"/>
      <c r="E1223" s="37">
        <v>3640000</v>
      </c>
      <c r="F1223" s="37"/>
      <c r="G1223" s="37">
        <f t="shared" si="218"/>
        <v>3640000</v>
      </c>
      <c r="H1223" s="64"/>
      <c r="I1223" s="37"/>
      <c r="J1223" s="64">
        <v>31153.89</v>
      </c>
      <c r="K1223" s="18">
        <f>+G1223-H1223-I1223-J1223</f>
        <v>3608846.11</v>
      </c>
      <c r="L1223" s="19">
        <f t="shared" si="220"/>
        <v>14560000</v>
      </c>
      <c r="M1223" s="20"/>
      <c r="N1223" s="20"/>
      <c r="O1223" s="81"/>
      <c r="P1223" s="55"/>
      <c r="Q1223" s="55"/>
      <c r="R1223" s="14"/>
      <c r="S1223" s="14"/>
    </row>
    <row r="1224" spans="2:19" ht="12.95" hidden="1" customHeight="1" x14ac:dyDescent="0.25">
      <c r="B1224" s="16">
        <v>43410.125</v>
      </c>
      <c r="C1224" s="50" t="s">
        <v>1173</v>
      </c>
      <c r="D1224" s="34"/>
      <c r="E1224" s="37">
        <v>3640000</v>
      </c>
      <c r="F1224" s="37"/>
      <c r="G1224" s="37">
        <f t="shared" si="218"/>
        <v>3640000</v>
      </c>
      <c r="H1224" s="64"/>
      <c r="I1224" s="37"/>
      <c r="J1224" s="64">
        <v>31153.89</v>
      </c>
      <c r="K1224" s="18">
        <f>+G1224-H1224-I1224-J1224</f>
        <v>3608846.11</v>
      </c>
      <c r="L1224" s="19">
        <f t="shared" si="220"/>
        <v>10920000</v>
      </c>
      <c r="M1224" s="20"/>
      <c r="N1224" s="20"/>
      <c r="O1224" s="81"/>
      <c r="P1224" s="55"/>
      <c r="Q1224" s="55"/>
      <c r="R1224" s="14"/>
      <c r="S1224" s="14"/>
    </row>
    <row r="1225" spans="2:19" ht="12.75" hidden="1" customHeight="1" x14ac:dyDescent="0.25">
      <c r="B1225" s="16">
        <v>43439.125</v>
      </c>
      <c r="C1225" s="50" t="s">
        <v>1174</v>
      </c>
      <c r="D1225" s="34"/>
      <c r="E1225" s="37">
        <v>3640000</v>
      </c>
      <c r="F1225" s="37"/>
      <c r="G1225" s="37">
        <f t="shared" si="218"/>
        <v>3640000</v>
      </c>
      <c r="H1225" s="64"/>
      <c r="I1225" s="37"/>
      <c r="J1225" s="64">
        <v>31153.89</v>
      </c>
      <c r="K1225" s="18">
        <f>+G1225-H1225-I1225-J1225</f>
        <v>3608846.11</v>
      </c>
      <c r="L1225" s="19">
        <f t="shared" si="220"/>
        <v>7280000</v>
      </c>
      <c r="M1225" s="20"/>
      <c r="N1225" s="20"/>
      <c r="O1225" s="81"/>
      <c r="P1225" s="55"/>
      <c r="Q1225" s="55"/>
      <c r="R1225" s="14"/>
      <c r="S1225" s="14"/>
    </row>
    <row r="1226" spans="2:19" ht="12.95" hidden="1" customHeight="1" x14ac:dyDescent="0.25">
      <c r="B1226" s="16">
        <v>43475.125</v>
      </c>
      <c r="C1226" s="50" t="s">
        <v>1175</v>
      </c>
      <c r="D1226" s="34"/>
      <c r="E1226" s="37">
        <v>3640000</v>
      </c>
      <c r="F1226" s="37"/>
      <c r="G1226" s="37">
        <f t="shared" si="218"/>
        <v>3640000</v>
      </c>
      <c r="H1226" s="64"/>
      <c r="I1226" s="37"/>
      <c r="J1226" s="64">
        <v>31153.89</v>
      </c>
      <c r="K1226" s="18">
        <f>+G1226-H1226-I1226-J1226</f>
        <v>3608846.11</v>
      </c>
      <c r="L1226" s="19">
        <f t="shared" si="220"/>
        <v>3640000</v>
      </c>
      <c r="M1226" s="20"/>
      <c r="N1226" s="20"/>
      <c r="O1226" s="81"/>
      <c r="P1226" s="55"/>
      <c r="Q1226" s="55"/>
      <c r="R1226" s="14"/>
      <c r="S1226" s="14"/>
    </row>
    <row r="1227" spans="2:19" ht="12.95" hidden="1" customHeight="1" x14ac:dyDescent="0.25">
      <c r="B1227" s="16">
        <v>43516.125</v>
      </c>
      <c r="C1227" s="50" t="s">
        <v>1176</v>
      </c>
      <c r="D1227" s="34"/>
      <c r="E1227" s="37">
        <v>3640000</v>
      </c>
      <c r="F1227" s="37"/>
      <c r="G1227" s="37">
        <f t="shared" si="218"/>
        <v>3640000</v>
      </c>
      <c r="H1227" s="64"/>
      <c r="I1227" s="37"/>
      <c r="J1227" s="64">
        <v>31153.89</v>
      </c>
      <c r="K1227" s="18">
        <f>+G1227-H1227-I1227-J1227</f>
        <v>3608846.11</v>
      </c>
      <c r="L1227" s="19">
        <f t="shared" si="220"/>
        <v>0</v>
      </c>
      <c r="M1227" s="20"/>
      <c r="N1227" s="20"/>
      <c r="O1227" s="81"/>
      <c r="P1227" s="55"/>
      <c r="Q1227" s="55"/>
      <c r="R1227" s="14"/>
      <c r="S1227" s="14"/>
    </row>
    <row r="1228" spans="2:19" ht="12.95" hidden="1" customHeight="1" x14ac:dyDescent="0.25">
      <c r="B1228" s="9" t="s">
        <v>1177</v>
      </c>
      <c r="C1228" s="10"/>
      <c r="D1228" s="11">
        <v>88000000</v>
      </c>
      <c r="E1228" s="11">
        <f>+D1228</f>
        <v>88000000</v>
      </c>
      <c r="F1228" s="11"/>
      <c r="G1228" s="11"/>
      <c r="H1228" s="11"/>
      <c r="I1228" s="11"/>
      <c r="J1228" s="11"/>
      <c r="K1228" s="11"/>
      <c r="L1228" s="11">
        <f>+D1228</f>
        <v>88000000</v>
      </c>
      <c r="M1228" s="12"/>
      <c r="N1228" s="12"/>
      <c r="P1228" s="55"/>
      <c r="Q1228" s="55"/>
      <c r="R1228" s="14"/>
      <c r="S1228" s="14"/>
    </row>
    <row r="1229" spans="2:19" ht="12.95" hidden="1" customHeight="1" x14ac:dyDescent="0.25">
      <c r="B1229" s="16">
        <v>43174.083333333336</v>
      </c>
      <c r="C1229" s="50" t="s">
        <v>1178</v>
      </c>
      <c r="D1229" s="34"/>
      <c r="E1229" s="37">
        <v>8000000</v>
      </c>
      <c r="F1229" s="37"/>
      <c r="G1229" s="37">
        <f t="shared" ref="G1229:G1239" si="221">+E1229</f>
        <v>8000000</v>
      </c>
      <c r="H1229" s="64"/>
      <c r="I1229" s="64">
        <v>531480</v>
      </c>
      <c r="J1229" s="64">
        <v>73416</v>
      </c>
      <c r="K1229" s="18">
        <f t="shared" ref="K1229:K1234" si="222">+G1229-H1229-I1229-J1229</f>
        <v>7395104</v>
      </c>
      <c r="L1229" s="19">
        <f t="shared" ref="L1229:L1239" si="223">+L1228-G1229</f>
        <v>80000000</v>
      </c>
      <c r="M1229" s="20"/>
      <c r="N1229" s="20"/>
      <c r="O1229" s="81"/>
      <c r="P1229" s="55"/>
      <c r="Q1229" s="55"/>
      <c r="R1229" s="14"/>
      <c r="S1229" s="14"/>
    </row>
    <row r="1230" spans="2:19" ht="12.95" hidden="1" customHeight="1" x14ac:dyDescent="0.25">
      <c r="B1230" s="16">
        <v>43201.083333333336</v>
      </c>
      <c r="C1230" s="50" t="s">
        <v>1179</v>
      </c>
      <c r="D1230" s="34"/>
      <c r="E1230" s="37">
        <v>8000000</v>
      </c>
      <c r="F1230" s="37"/>
      <c r="G1230" s="37">
        <f t="shared" si="221"/>
        <v>8000000</v>
      </c>
      <c r="H1230" s="64"/>
      <c r="I1230" s="64">
        <v>531480</v>
      </c>
      <c r="J1230" s="64">
        <v>73416</v>
      </c>
      <c r="K1230" s="18">
        <f t="shared" si="222"/>
        <v>7395104</v>
      </c>
      <c r="L1230" s="19">
        <f t="shared" si="223"/>
        <v>72000000</v>
      </c>
      <c r="M1230" s="20"/>
      <c r="N1230" s="20"/>
      <c r="O1230" s="81"/>
      <c r="P1230" s="55"/>
      <c r="Q1230" s="55"/>
      <c r="R1230" s="14"/>
      <c r="S1230" s="14"/>
    </row>
    <row r="1231" spans="2:19" ht="12.95" hidden="1" customHeight="1" x14ac:dyDescent="0.25">
      <c r="B1231" s="16">
        <v>43243.083333333336</v>
      </c>
      <c r="C1231" s="50" t="s">
        <v>1180</v>
      </c>
      <c r="D1231" s="34"/>
      <c r="E1231" s="37">
        <v>8000000</v>
      </c>
      <c r="F1231" s="37"/>
      <c r="G1231" s="37">
        <f t="shared" si="221"/>
        <v>8000000</v>
      </c>
      <c r="H1231" s="64"/>
      <c r="I1231" s="64">
        <v>531480</v>
      </c>
      <c r="J1231" s="64">
        <v>73416</v>
      </c>
      <c r="K1231" s="18">
        <f t="shared" si="222"/>
        <v>7395104</v>
      </c>
      <c r="L1231" s="19">
        <f t="shared" si="223"/>
        <v>64000000</v>
      </c>
      <c r="M1231" s="20"/>
      <c r="N1231" s="20"/>
      <c r="O1231" s="81"/>
      <c r="P1231" s="55"/>
      <c r="Q1231" s="55"/>
      <c r="R1231" s="14"/>
      <c r="S1231" s="14"/>
    </row>
    <row r="1232" spans="2:19" ht="12.95" hidden="1" customHeight="1" x14ac:dyDescent="0.25">
      <c r="B1232" s="16">
        <v>43259.083333333336</v>
      </c>
      <c r="C1232" s="50" t="s">
        <v>1181</v>
      </c>
      <c r="D1232" s="34"/>
      <c r="E1232" s="37">
        <v>8000000</v>
      </c>
      <c r="F1232" s="37"/>
      <c r="G1232" s="37">
        <f t="shared" si="221"/>
        <v>8000000</v>
      </c>
      <c r="H1232" s="64"/>
      <c r="I1232" s="64">
        <v>531480</v>
      </c>
      <c r="J1232" s="64">
        <v>73416</v>
      </c>
      <c r="K1232" s="18">
        <f t="shared" si="222"/>
        <v>7395104</v>
      </c>
      <c r="L1232" s="19">
        <f t="shared" si="223"/>
        <v>56000000</v>
      </c>
      <c r="M1232" s="20"/>
      <c r="N1232" s="20"/>
      <c r="O1232" s="81"/>
      <c r="P1232" s="55"/>
      <c r="Q1232" s="55"/>
      <c r="R1232" s="14"/>
      <c r="S1232" s="14"/>
    </row>
    <row r="1233" spans="2:19" ht="12.95" hidden="1" customHeight="1" x14ac:dyDescent="0.25">
      <c r="B1233" s="16">
        <v>43297.083333333336</v>
      </c>
      <c r="C1233" s="50" t="s">
        <v>1182</v>
      </c>
      <c r="D1233" s="34"/>
      <c r="E1233" s="37">
        <v>8000000</v>
      </c>
      <c r="F1233" s="37"/>
      <c r="G1233" s="37">
        <f t="shared" si="221"/>
        <v>8000000</v>
      </c>
      <c r="H1233" s="64"/>
      <c r="I1233" s="64">
        <v>531480</v>
      </c>
      <c r="J1233" s="64">
        <v>73416</v>
      </c>
      <c r="K1233" s="18">
        <f t="shared" si="222"/>
        <v>7395104</v>
      </c>
      <c r="L1233" s="19">
        <f t="shared" si="223"/>
        <v>48000000</v>
      </c>
      <c r="M1233" s="20"/>
      <c r="N1233" s="20"/>
      <c r="O1233" s="81"/>
      <c r="P1233" s="55"/>
      <c r="Q1233" s="55"/>
      <c r="R1233" s="14"/>
      <c r="S1233" s="14"/>
    </row>
    <row r="1234" spans="2:19" ht="12.95" hidden="1" customHeight="1" x14ac:dyDescent="0.25">
      <c r="B1234" s="16">
        <v>43320.083333333336</v>
      </c>
      <c r="C1234" s="50" t="s">
        <v>1183</v>
      </c>
      <c r="D1234" s="34"/>
      <c r="E1234" s="37">
        <v>8000000</v>
      </c>
      <c r="F1234" s="37"/>
      <c r="G1234" s="37">
        <f t="shared" si="221"/>
        <v>8000000</v>
      </c>
      <c r="H1234" s="64"/>
      <c r="I1234" s="64">
        <v>531480</v>
      </c>
      <c r="J1234" s="64">
        <v>73416</v>
      </c>
      <c r="K1234" s="18">
        <f t="shared" si="222"/>
        <v>7395104</v>
      </c>
      <c r="L1234" s="19">
        <f t="shared" si="223"/>
        <v>40000000</v>
      </c>
      <c r="M1234" s="20"/>
      <c r="N1234" s="20"/>
      <c r="O1234" s="81">
        <f>+L1239-'[1]ANEXO 7 - PPTO VIG 2018'!T37</f>
        <v>0</v>
      </c>
      <c r="P1234" s="55"/>
      <c r="Q1234" s="55"/>
      <c r="R1234" s="14"/>
      <c r="S1234" s="14"/>
    </row>
    <row r="1235" spans="2:19" ht="12.95" hidden="1" customHeight="1" x14ac:dyDescent="0.25">
      <c r="B1235" s="16">
        <v>43356.083333333336</v>
      </c>
      <c r="C1235" s="50" t="s">
        <v>1184</v>
      </c>
      <c r="D1235" s="34"/>
      <c r="E1235" s="37">
        <v>8000000</v>
      </c>
      <c r="F1235" s="37"/>
      <c r="G1235" s="37">
        <f t="shared" si="221"/>
        <v>8000000</v>
      </c>
      <c r="H1235" s="64"/>
      <c r="I1235" s="37">
        <v>531480</v>
      </c>
      <c r="J1235" s="64">
        <v>73416</v>
      </c>
      <c r="K1235" s="18">
        <f>+G1235-H1235-I1235-J1235</f>
        <v>7395104</v>
      </c>
      <c r="L1235" s="19">
        <f t="shared" si="223"/>
        <v>32000000</v>
      </c>
      <c r="M1235" s="20"/>
      <c r="N1235" s="20"/>
      <c r="O1235" s="81"/>
      <c r="P1235" s="55"/>
      <c r="Q1235" s="55"/>
      <c r="R1235" s="14"/>
      <c r="S1235" s="14"/>
    </row>
    <row r="1236" spans="2:19" ht="12.95" hidden="1" customHeight="1" x14ac:dyDescent="0.25">
      <c r="B1236" s="16">
        <v>43403.083333333336</v>
      </c>
      <c r="C1236" s="50" t="s">
        <v>1185</v>
      </c>
      <c r="D1236" s="34"/>
      <c r="E1236" s="37">
        <v>8000000</v>
      </c>
      <c r="F1236" s="37"/>
      <c r="G1236" s="37">
        <f t="shared" si="221"/>
        <v>8000000</v>
      </c>
      <c r="H1236" s="64"/>
      <c r="I1236" s="37">
        <v>363480.01</v>
      </c>
      <c r="J1236" s="64">
        <v>73416</v>
      </c>
      <c r="K1236" s="18">
        <f>+G1236-H1236-I1236-J1236</f>
        <v>7563103.9900000002</v>
      </c>
      <c r="L1236" s="19">
        <f t="shared" si="223"/>
        <v>24000000</v>
      </c>
      <c r="M1236" s="20"/>
      <c r="N1236" s="20"/>
      <c r="O1236" s="81"/>
      <c r="P1236" s="55"/>
      <c r="Q1236" s="55"/>
      <c r="R1236" s="14"/>
      <c r="S1236" s="14"/>
    </row>
    <row r="1237" spans="2:19" ht="12.95" hidden="1" customHeight="1" x14ac:dyDescent="0.25">
      <c r="B1237" s="16">
        <v>43423.125</v>
      </c>
      <c r="C1237" s="50" t="s">
        <v>1186</v>
      </c>
      <c r="D1237" s="34"/>
      <c r="E1237" s="37">
        <v>8000000</v>
      </c>
      <c r="F1237" s="37"/>
      <c r="G1237" s="37">
        <f t="shared" si="221"/>
        <v>8000000</v>
      </c>
      <c r="H1237" s="64"/>
      <c r="I1237" s="37">
        <v>531480</v>
      </c>
      <c r="J1237" s="64">
        <v>73416</v>
      </c>
      <c r="K1237" s="18">
        <f>+G1237-H1237-I1237-J1237</f>
        <v>7395104</v>
      </c>
      <c r="L1237" s="19">
        <f t="shared" si="223"/>
        <v>16000000</v>
      </c>
      <c r="M1237" s="20"/>
      <c r="N1237" s="20"/>
      <c r="O1237" s="81"/>
      <c r="P1237" s="55"/>
      <c r="Q1237" s="55"/>
      <c r="R1237" s="14"/>
      <c r="S1237" s="14"/>
    </row>
    <row r="1238" spans="2:19" ht="12.95" hidden="1" customHeight="1" x14ac:dyDescent="0.25">
      <c r="B1238" s="16">
        <v>43475.125</v>
      </c>
      <c r="C1238" s="50" t="s">
        <v>1187</v>
      </c>
      <c r="D1238" s="34"/>
      <c r="E1238" s="37">
        <v>8000000</v>
      </c>
      <c r="F1238" s="37"/>
      <c r="G1238" s="37">
        <f t="shared" si="221"/>
        <v>8000000</v>
      </c>
      <c r="H1238" s="64"/>
      <c r="I1238" s="37">
        <v>495832</v>
      </c>
      <c r="J1238" s="64">
        <v>73416</v>
      </c>
      <c r="K1238" s="18">
        <f>+G1238-H1238-I1238-J1238</f>
        <v>7430752</v>
      </c>
      <c r="L1238" s="19">
        <f t="shared" si="223"/>
        <v>8000000</v>
      </c>
      <c r="M1238" s="20"/>
      <c r="N1238" s="20"/>
      <c r="O1238" s="81"/>
      <c r="P1238" s="55"/>
      <c r="Q1238" s="55"/>
      <c r="R1238" s="14"/>
      <c r="S1238" s="14"/>
    </row>
    <row r="1239" spans="2:19" ht="12.95" hidden="1" customHeight="1" x14ac:dyDescent="0.25">
      <c r="B1239" s="16">
        <v>43515.125</v>
      </c>
      <c r="C1239" s="50" t="s">
        <v>1188</v>
      </c>
      <c r="D1239" s="34"/>
      <c r="E1239" s="37">
        <v>8000000</v>
      </c>
      <c r="F1239" s="37"/>
      <c r="G1239" s="37">
        <f t="shared" si="221"/>
        <v>8000000</v>
      </c>
      <c r="H1239" s="64"/>
      <c r="I1239" s="37">
        <v>495832</v>
      </c>
      <c r="J1239" s="64">
        <v>73416</v>
      </c>
      <c r="K1239" s="18">
        <f>+G1239-H1239-I1239-J1239</f>
        <v>7430752</v>
      </c>
      <c r="L1239" s="19">
        <f t="shared" si="223"/>
        <v>0</v>
      </c>
      <c r="M1239" s="20"/>
      <c r="N1239" s="20"/>
      <c r="O1239" s="81"/>
      <c r="P1239" s="55"/>
      <c r="Q1239" s="55"/>
      <c r="R1239" s="14"/>
      <c r="S1239" s="14"/>
    </row>
    <row r="1240" spans="2:19" ht="12.95" hidden="1" customHeight="1" x14ac:dyDescent="0.25">
      <c r="B1240" s="9" t="s">
        <v>1189</v>
      </c>
      <c r="C1240" s="10"/>
      <c r="D1240" s="11">
        <v>91520000</v>
      </c>
      <c r="E1240" s="11">
        <f>+D1240</f>
        <v>91520000</v>
      </c>
      <c r="F1240" s="11"/>
      <c r="G1240" s="11"/>
      <c r="H1240" s="11"/>
      <c r="I1240" s="11"/>
      <c r="J1240" s="11"/>
      <c r="K1240" s="11"/>
      <c r="L1240" s="11">
        <f>+D1240</f>
        <v>91520000</v>
      </c>
      <c r="M1240" s="12"/>
      <c r="N1240" s="12"/>
      <c r="P1240" s="55"/>
      <c r="Q1240" s="55"/>
      <c r="R1240" s="14"/>
      <c r="S1240" s="14"/>
    </row>
    <row r="1241" spans="2:19" ht="12.95" hidden="1" customHeight="1" x14ac:dyDescent="0.25">
      <c r="B1241" s="16">
        <v>43174.083333333336</v>
      </c>
      <c r="C1241" s="50" t="s">
        <v>1190</v>
      </c>
      <c r="D1241" s="34"/>
      <c r="E1241" s="37">
        <v>8320000</v>
      </c>
      <c r="F1241" s="37"/>
      <c r="G1241" s="37">
        <f t="shared" ref="G1241:G1247" si="224">+E1241</f>
        <v>8320000</v>
      </c>
      <c r="H1241" s="64"/>
      <c r="I1241" s="64">
        <v>326193.90000000002</v>
      </c>
      <c r="J1241" s="64">
        <v>71208.88</v>
      </c>
      <c r="K1241" s="18">
        <f t="shared" ref="K1241:K1246" si="225">+G1241-H1241-I1241-J1241</f>
        <v>7922597.2199999997</v>
      </c>
      <c r="L1241" s="19">
        <f t="shared" ref="L1241:L1247" si="226">+L1240-G1241</f>
        <v>83200000</v>
      </c>
      <c r="M1241" s="20"/>
      <c r="N1241" s="20"/>
      <c r="O1241" s="81"/>
      <c r="P1241" s="55"/>
      <c r="Q1241" s="55"/>
      <c r="R1241" s="14"/>
      <c r="S1241" s="14"/>
    </row>
    <row r="1242" spans="2:19" ht="12.95" hidden="1" customHeight="1" x14ac:dyDescent="0.25">
      <c r="B1242" s="16">
        <v>43201.083333333336</v>
      </c>
      <c r="C1242" s="50" t="s">
        <v>1191</v>
      </c>
      <c r="D1242" s="34"/>
      <c r="E1242" s="37">
        <v>8320000</v>
      </c>
      <c r="F1242" s="37"/>
      <c r="G1242" s="37">
        <f t="shared" si="224"/>
        <v>8320000</v>
      </c>
      <c r="H1242" s="64"/>
      <c r="I1242" s="64">
        <v>326193.90000000002</v>
      </c>
      <c r="J1242" s="64">
        <v>71208.88</v>
      </c>
      <c r="K1242" s="18">
        <f t="shared" si="225"/>
        <v>7922597.2199999997</v>
      </c>
      <c r="L1242" s="19">
        <f t="shared" si="226"/>
        <v>74880000</v>
      </c>
      <c r="M1242" s="20"/>
      <c r="N1242" s="20"/>
      <c r="O1242" s="81"/>
      <c r="P1242" s="55"/>
      <c r="Q1242" s="55"/>
      <c r="R1242" s="14"/>
      <c r="S1242" s="14"/>
    </row>
    <row r="1243" spans="2:19" ht="12.95" hidden="1" customHeight="1" x14ac:dyDescent="0.25">
      <c r="B1243" s="16">
        <v>43237.083333333336</v>
      </c>
      <c r="C1243" s="50" t="s">
        <v>1192</v>
      </c>
      <c r="D1243" s="34"/>
      <c r="E1243" s="37">
        <v>8320000</v>
      </c>
      <c r="F1243" s="37"/>
      <c r="G1243" s="37">
        <f t="shared" si="224"/>
        <v>8320000</v>
      </c>
      <c r="H1243" s="64"/>
      <c r="I1243" s="64">
        <v>326193.90000000002</v>
      </c>
      <c r="J1243" s="64">
        <v>71208.88</v>
      </c>
      <c r="K1243" s="18">
        <f t="shared" si="225"/>
        <v>7922597.2199999997</v>
      </c>
      <c r="L1243" s="19">
        <f t="shared" si="226"/>
        <v>66560000</v>
      </c>
      <c r="M1243" s="20"/>
      <c r="N1243" s="20"/>
      <c r="O1243" s="81"/>
      <c r="P1243" s="55"/>
      <c r="Q1243" s="55"/>
      <c r="R1243" s="14"/>
      <c r="S1243" s="14"/>
    </row>
    <row r="1244" spans="2:19" ht="12.75" hidden="1" customHeight="1" x14ac:dyDescent="0.25">
      <c r="B1244" s="16">
        <v>43265.083333333336</v>
      </c>
      <c r="C1244" s="50" t="s">
        <v>1193</v>
      </c>
      <c r="D1244" s="34"/>
      <c r="E1244" s="37">
        <v>8320000</v>
      </c>
      <c r="F1244" s="37"/>
      <c r="G1244" s="37">
        <f t="shared" si="224"/>
        <v>8320000</v>
      </c>
      <c r="H1244" s="64"/>
      <c r="I1244" s="64">
        <v>326193.90000000002</v>
      </c>
      <c r="J1244" s="64">
        <v>71208.88</v>
      </c>
      <c r="K1244" s="18">
        <f t="shared" si="225"/>
        <v>7922597.2199999997</v>
      </c>
      <c r="L1244" s="19">
        <f t="shared" si="226"/>
        <v>58240000</v>
      </c>
      <c r="M1244" s="20"/>
      <c r="N1244" s="20"/>
      <c r="O1244" s="81"/>
      <c r="P1244" s="55"/>
      <c r="Q1244" s="55"/>
      <c r="R1244" s="14"/>
      <c r="S1244" s="14"/>
    </row>
    <row r="1245" spans="2:19" ht="12.75" hidden="1" customHeight="1" x14ac:dyDescent="0.25">
      <c r="B1245" s="16">
        <v>43304.083333333336</v>
      </c>
      <c r="C1245" s="50" t="s">
        <v>1194</v>
      </c>
      <c r="D1245" s="34"/>
      <c r="E1245" s="37">
        <v>8320000</v>
      </c>
      <c r="F1245" s="37"/>
      <c r="G1245" s="37">
        <f t="shared" si="224"/>
        <v>8320000</v>
      </c>
      <c r="H1245" s="64"/>
      <c r="I1245" s="64">
        <v>326193.90000000002</v>
      </c>
      <c r="J1245" s="64">
        <v>71208.88</v>
      </c>
      <c r="K1245" s="18">
        <f t="shared" si="225"/>
        <v>7922597.2199999997</v>
      </c>
      <c r="L1245" s="19">
        <f t="shared" si="226"/>
        <v>49920000</v>
      </c>
      <c r="M1245" s="20"/>
      <c r="N1245" s="20"/>
      <c r="O1245" s="81">
        <f>+L1248-'[1]ANEXO 7 - PPTO VIG 2018'!T53</f>
        <v>0</v>
      </c>
      <c r="P1245" s="55"/>
      <c r="Q1245" s="55"/>
      <c r="R1245" s="14"/>
      <c r="S1245" s="14"/>
    </row>
    <row r="1246" spans="2:19" ht="12.75" hidden="1" customHeight="1" x14ac:dyDescent="0.25">
      <c r="B1246" s="16">
        <v>43340.083333333336</v>
      </c>
      <c r="C1246" s="50" t="s">
        <v>1195</v>
      </c>
      <c r="D1246" s="34"/>
      <c r="E1246" s="37">
        <v>8320000</v>
      </c>
      <c r="F1246" s="37"/>
      <c r="G1246" s="37">
        <f t="shared" si="224"/>
        <v>8320000</v>
      </c>
      <c r="H1246" s="64"/>
      <c r="I1246" s="64">
        <v>326193.90000000002</v>
      </c>
      <c r="J1246" s="64">
        <v>71208.88</v>
      </c>
      <c r="K1246" s="18">
        <f t="shared" si="225"/>
        <v>7922597.2199999997</v>
      </c>
      <c r="L1246" s="19">
        <f t="shared" si="226"/>
        <v>41600000</v>
      </c>
      <c r="M1246" s="20"/>
      <c r="N1246" s="20"/>
      <c r="O1246" s="81"/>
      <c r="P1246" s="55"/>
      <c r="Q1246" s="55"/>
      <c r="R1246" s="14"/>
      <c r="S1246" s="14"/>
    </row>
    <row r="1247" spans="2:19" ht="12.75" hidden="1" customHeight="1" x14ac:dyDescent="0.25">
      <c r="B1247" s="16">
        <v>43349.083333333336</v>
      </c>
      <c r="C1247" s="50" t="s">
        <v>1196</v>
      </c>
      <c r="D1247" s="34"/>
      <c r="E1247" s="37">
        <v>6655992</v>
      </c>
      <c r="F1247" s="37"/>
      <c r="G1247" s="37">
        <f t="shared" si="224"/>
        <v>6655992</v>
      </c>
      <c r="H1247" s="64"/>
      <c r="I1247" s="37">
        <v>140765.16</v>
      </c>
      <c r="J1247" s="64">
        <v>56967.040000000001</v>
      </c>
      <c r="K1247" s="18">
        <f>+G1247-H1247-I1247-J1247</f>
        <v>6458259.7999999998</v>
      </c>
      <c r="L1247" s="19">
        <f t="shared" si="226"/>
        <v>34944008</v>
      </c>
      <c r="M1247" s="20"/>
      <c r="N1247" s="20"/>
      <c r="O1247" s="81"/>
      <c r="P1247" s="55"/>
      <c r="Q1247" s="55"/>
      <c r="R1247" s="14"/>
      <c r="S1247" s="14"/>
    </row>
    <row r="1248" spans="2:19" ht="12.75" hidden="1" customHeight="1" x14ac:dyDescent="0.25">
      <c r="B1248" s="16">
        <v>43349.083333333336</v>
      </c>
      <c r="C1248" s="50" t="s">
        <v>654</v>
      </c>
      <c r="D1248" s="34"/>
      <c r="E1248" s="37">
        <v>34944008</v>
      </c>
      <c r="F1248" s="37"/>
      <c r="G1248" s="37"/>
      <c r="H1248" s="64"/>
      <c r="I1248" s="37"/>
      <c r="J1248" s="64"/>
      <c r="K1248" s="18"/>
      <c r="L1248" s="19">
        <f>+L1247-E1248</f>
        <v>0</v>
      </c>
      <c r="M1248" s="20"/>
      <c r="N1248" s="20"/>
      <c r="O1248" s="81"/>
      <c r="P1248" s="55"/>
      <c r="Q1248" s="55"/>
      <c r="R1248" s="14"/>
      <c r="S1248" s="14"/>
    </row>
    <row r="1249" spans="2:19" ht="12.95" hidden="1" customHeight="1" x14ac:dyDescent="0.25">
      <c r="B1249" s="9" t="s">
        <v>1197</v>
      </c>
      <c r="C1249" s="10"/>
      <c r="D1249" s="11">
        <v>56000000</v>
      </c>
      <c r="E1249" s="11">
        <f>+D1249</f>
        <v>56000000</v>
      </c>
      <c r="F1249" s="11"/>
      <c r="G1249" s="11"/>
      <c r="H1249" s="11"/>
      <c r="I1249" s="11"/>
      <c r="J1249" s="11"/>
      <c r="K1249" s="11"/>
      <c r="L1249" s="11">
        <f>+D1249</f>
        <v>56000000</v>
      </c>
      <c r="M1249" s="12"/>
      <c r="N1249" s="12"/>
      <c r="P1249" s="55"/>
      <c r="Q1249" s="55"/>
      <c r="R1249" s="14"/>
      <c r="S1249" s="14"/>
    </row>
    <row r="1250" spans="2:19" ht="12.95" hidden="1" customHeight="1" x14ac:dyDescent="0.25">
      <c r="B1250" s="16">
        <v>43174.083333333336</v>
      </c>
      <c r="C1250" s="50" t="s">
        <v>1198</v>
      </c>
      <c r="D1250" s="34"/>
      <c r="E1250" s="37">
        <v>8000000</v>
      </c>
      <c r="F1250" s="37"/>
      <c r="G1250" s="37">
        <f t="shared" ref="G1250:G1256" si="227">+E1250</f>
        <v>8000000</v>
      </c>
      <c r="H1250" s="64"/>
      <c r="I1250" s="64">
        <v>219584.53</v>
      </c>
      <c r="J1250" s="64">
        <v>68470.080000000002</v>
      </c>
      <c r="K1250" s="18">
        <f t="shared" ref="K1250:K1255" si="228">+G1250-H1250-I1250-J1250</f>
        <v>7711945.3899999997</v>
      </c>
      <c r="L1250" s="19">
        <f t="shared" ref="L1250:L1256" si="229">+L1249-G1250</f>
        <v>48000000</v>
      </c>
      <c r="M1250" s="20"/>
      <c r="N1250" s="20"/>
      <c r="O1250" s="81"/>
      <c r="P1250" s="55"/>
      <c r="Q1250" s="55"/>
      <c r="R1250" s="14"/>
      <c r="S1250" s="14"/>
    </row>
    <row r="1251" spans="2:19" ht="12.95" hidden="1" customHeight="1" x14ac:dyDescent="0.25">
      <c r="B1251" s="16">
        <v>43203.083333333336</v>
      </c>
      <c r="C1251" s="50" t="s">
        <v>1199</v>
      </c>
      <c r="D1251" s="34"/>
      <c r="E1251" s="37">
        <v>8000000</v>
      </c>
      <c r="F1251" s="37"/>
      <c r="G1251" s="37">
        <f t="shared" si="227"/>
        <v>8000000</v>
      </c>
      <c r="H1251" s="64"/>
      <c r="I1251" s="64">
        <v>295180.21000000002</v>
      </c>
      <c r="J1251" s="64">
        <v>68470.080000000002</v>
      </c>
      <c r="K1251" s="18">
        <f t="shared" si="228"/>
        <v>7636349.71</v>
      </c>
      <c r="L1251" s="19">
        <f t="shared" si="229"/>
        <v>40000000</v>
      </c>
      <c r="M1251" s="20"/>
      <c r="N1251" s="20"/>
      <c r="O1251" s="81"/>
      <c r="P1251" s="55"/>
      <c r="Q1251" s="55"/>
      <c r="R1251" s="14"/>
      <c r="S1251" s="14"/>
    </row>
    <row r="1252" spans="2:19" ht="12.95" hidden="1" customHeight="1" x14ac:dyDescent="0.25">
      <c r="B1252" s="16">
        <v>43236</v>
      </c>
      <c r="C1252" s="50" t="s">
        <v>1200</v>
      </c>
      <c r="D1252" s="34"/>
      <c r="E1252" s="37">
        <v>8000000</v>
      </c>
      <c r="F1252" s="37"/>
      <c r="G1252" s="37">
        <f t="shared" si="227"/>
        <v>8000000</v>
      </c>
      <c r="H1252" s="64"/>
      <c r="I1252" s="64">
        <v>295180.21000000002</v>
      </c>
      <c r="J1252" s="64">
        <v>68470.080000000002</v>
      </c>
      <c r="K1252" s="18">
        <f t="shared" si="228"/>
        <v>7636349.71</v>
      </c>
      <c r="L1252" s="19">
        <f t="shared" si="229"/>
        <v>32000000</v>
      </c>
      <c r="M1252" s="20"/>
      <c r="N1252" s="20"/>
      <c r="O1252" s="81"/>
      <c r="P1252" s="55"/>
      <c r="Q1252" s="55"/>
      <c r="R1252" s="14"/>
      <c r="S1252" s="14"/>
    </row>
    <row r="1253" spans="2:19" ht="12.95" hidden="1" customHeight="1" x14ac:dyDescent="0.25">
      <c r="B1253" s="16">
        <v>43269.083333333336</v>
      </c>
      <c r="C1253" s="50" t="s">
        <v>1201</v>
      </c>
      <c r="D1253" s="34"/>
      <c r="E1253" s="37">
        <v>8000000</v>
      </c>
      <c r="F1253" s="37"/>
      <c r="G1253" s="37">
        <f t="shared" si="227"/>
        <v>8000000</v>
      </c>
      <c r="H1253" s="64"/>
      <c r="I1253" s="64">
        <v>295180.21000000002</v>
      </c>
      <c r="J1253" s="64">
        <v>68470.080000000002</v>
      </c>
      <c r="K1253" s="18">
        <f t="shared" si="228"/>
        <v>7636349.71</v>
      </c>
      <c r="L1253" s="19">
        <f t="shared" si="229"/>
        <v>24000000</v>
      </c>
      <c r="M1253" s="20"/>
      <c r="N1253" s="20"/>
      <c r="O1253" s="81"/>
      <c r="P1253" s="55"/>
      <c r="Q1253" s="55"/>
      <c r="R1253" s="14"/>
      <c r="S1253" s="14"/>
    </row>
    <row r="1254" spans="2:19" ht="12.95" hidden="1" customHeight="1" x14ac:dyDescent="0.25">
      <c r="B1254" s="16">
        <v>43299.083333333336</v>
      </c>
      <c r="C1254" s="50" t="s">
        <v>1202</v>
      </c>
      <c r="D1254" s="34"/>
      <c r="E1254" s="37">
        <v>8000000</v>
      </c>
      <c r="F1254" s="37"/>
      <c r="G1254" s="37">
        <f t="shared" si="227"/>
        <v>8000000</v>
      </c>
      <c r="H1254" s="64"/>
      <c r="I1254" s="64">
        <v>295180.21000000002</v>
      </c>
      <c r="J1254" s="64">
        <v>68470.080000000002</v>
      </c>
      <c r="K1254" s="18">
        <f t="shared" si="228"/>
        <v>7636349.71</v>
      </c>
      <c r="L1254" s="19">
        <f t="shared" si="229"/>
        <v>16000000</v>
      </c>
      <c r="M1254" s="20"/>
      <c r="N1254" s="20"/>
      <c r="O1254" s="81">
        <f>+'[1]ANEXO 7 - PPTO VIG 2018'!T74-L1256</f>
        <v>0</v>
      </c>
      <c r="P1254" s="55"/>
      <c r="Q1254" s="55"/>
      <c r="R1254" s="14"/>
      <c r="S1254" s="14"/>
    </row>
    <row r="1255" spans="2:19" ht="12.95" hidden="1" customHeight="1" x14ac:dyDescent="0.25">
      <c r="B1255" s="16">
        <v>43339.083333333336</v>
      </c>
      <c r="C1255" s="50" t="s">
        <v>1203</v>
      </c>
      <c r="D1255" s="34"/>
      <c r="E1255" s="37">
        <v>8000000</v>
      </c>
      <c r="F1255" s="37"/>
      <c r="G1255" s="37">
        <f t="shared" si="227"/>
        <v>8000000</v>
      </c>
      <c r="H1255" s="64"/>
      <c r="I1255" s="64">
        <v>295180.21000000002</v>
      </c>
      <c r="J1255" s="64">
        <v>68470.080000000002</v>
      </c>
      <c r="K1255" s="18">
        <f t="shared" si="228"/>
        <v>7636349.71</v>
      </c>
      <c r="L1255" s="19">
        <f t="shared" si="229"/>
        <v>8000000</v>
      </c>
      <c r="M1255" s="20"/>
      <c r="N1255" s="20"/>
      <c r="O1255" s="81"/>
      <c r="P1255" s="55"/>
      <c r="Q1255" s="55"/>
      <c r="R1255" s="14"/>
      <c r="S1255" s="14"/>
    </row>
    <row r="1256" spans="2:19" ht="12.95" hidden="1" customHeight="1" x14ac:dyDescent="0.25">
      <c r="B1256" s="16">
        <v>43363.083333333336</v>
      </c>
      <c r="C1256" s="50" t="s">
        <v>1204</v>
      </c>
      <c r="D1256" s="34"/>
      <c r="E1256" s="37">
        <v>8000000</v>
      </c>
      <c r="F1256" s="37"/>
      <c r="G1256" s="37">
        <f t="shared" si="227"/>
        <v>8000000</v>
      </c>
      <c r="H1256" s="64"/>
      <c r="I1256" s="37">
        <v>290620.2</v>
      </c>
      <c r="J1256" s="64">
        <v>68470.080000000002</v>
      </c>
      <c r="K1256" s="18">
        <f>+G1256-H1256-I1256-J1256</f>
        <v>7640909.7199999997</v>
      </c>
      <c r="L1256" s="19">
        <f t="shared" si="229"/>
        <v>0</v>
      </c>
      <c r="M1256" s="20"/>
      <c r="N1256" s="20"/>
      <c r="O1256" s="81"/>
      <c r="P1256" s="55"/>
      <c r="Q1256" s="55"/>
      <c r="R1256" s="14"/>
      <c r="S1256" s="14"/>
    </row>
    <row r="1257" spans="2:19" ht="12.95" hidden="1" customHeight="1" x14ac:dyDescent="0.25">
      <c r="B1257" s="9" t="s">
        <v>1205</v>
      </c>
      <c r="C1257" s="10"/>
      <c r="D1257" s="11">
        <v>35000000</v>
      </c>
      <c r="E1257" s="11">
        <f>+D1257</f>
        <v>35000000</v>
      </c>
      <c r="F1257" s="11"/>
      <c r="G1257" s="11"/>
      <c r="H1257" s="11"/>
      <c r="I1257" s="11"/>
      <c r="J1257" s="11"/>
      <c r="K1257" s="11"/>
      <c r="L1257" s="11">
        <f>+D1257</f>
        <v>35000000</v>
      </c>
      <c r="M1257" s="12"/>
      <c r="N1257" s="12"/>
      <c r="P1257" s="55"/>
      <c r="Q1257" s="55"/>
      <c r="R1257" s="14"/>
      <c r="S1257" s="14"/>
    </row>
    <row r="1258" spans="2:19" ht="12.95" hidden="1" customHeight="1" x14ac:dyDescent="0.25">
      <c r="B1258" s="16">
        <v>43179.083333333336</v>
      </c>
      <c r="C1258" s="50" t="s">
        <v>1206</v>
      </c>
      <c r="D1258" s="34"/>
      <c r="E1258" s="37">
        <v>5000000</v>
      </c>
      <c r="F1258" s="37"/>
      <c r="G1258" s="37">
        <f>+E1258</f>
        <v>5000000</v>
      </c>
      <c r="H1258" s="64"/>
      <c r="I1258" s="64">
        <v>31312.959999999999</v>
      </c>
      <c r="J1258" s="64">
        <v>42793.8</v>
      </c>
      <c r="K1258" s="18">
        <f t="shared" ref="K1258:K1263" si="230">+G1258-H1258-I1258-J1258</f>
        <v>4925893.24</v>
      </c>
      <c r="L1258" s="19">
        <f t="shared" ref="L1258:L1264" si="231">+L1257-G1258</f>
        <v>30000000</v>
      </c>
      <c r="M1258" s="20"/>
      <c r="N1258" s="20"/>
      <c r="O1258" s="81"/>
      <c r="P1258" s="55"/>
      <c r="Q1258" s="55"/>
      <c r="R1258" s="14"/>
      <c r="S1258" s="14"/>
    </row>
    <row r="1259" spans="2:19" ht="12.95" hidden="1" customHeight="1" x14ac:dyDescent="0.25">
      <c r="B1259" s="16">
        <v>43209.083333333336</v>
      </c>
      <c r="C1259" s="50" t="s">
        <v>1207</v>
      </c>
      <c r="D1259" s="34"/>
      <c r="E1259" s="37">
        <v>5000000</v>
      </c>
      <c r="F1259" s="37"/>
      <c r="G1259" s="37">
        <v>5000000</v>
      </c>
      <c r="H1259" s="64"/>
      <c r="I1259" s="64">
        <v>31312.959999999999</v>
      </c>
      <c r="J1259" s="64">
        <v>42793.8</v>
      </c>
      <c r="K1259" s="18">
        <f t="shared" si="230"/>
        <v>4925893.24</v>
      </c>
      <c r="L1259" s="19">
        <f t="shared" si="231"/>
        <v>25000000</v>
      </c>
      <c r="M1259" s="20"/>
      <c r="N1259" s="20"/>
      <c r="O1259" s="81"/>
      <c r="P1259" s="55"/>
      <c r="Q1259" s="55"/>
      <c r="R1259" s="14"/>
      <c r="S1259" s="14"/>
    </row>
    <row r="1260" spans="2:19" ht="12.95" hidden="1" customHeight="1" x14ac:dyDescent="0.25">
      <c r="B1260" s="16">
        <v>43237.083333333336</v>
      </c>
      <c r="C1260" s="50" t="s">
        <v>1208</v>
      </c>
      <c r="D1260" s="34"/>
      <c r="E1260" s="37">
        <v>5000000</v>
      </c>
      <c r="F1260" s="37"/>
      <c r="G1260" s="37">
        <v>5000000</v>
      </c>
      <c r="H1260" s="64"/>
      <c r="I1260" s="64">
        <v>31312.959999999999</v>
      </c>
      <c r="J1260" s="64">
        <v>42793.8</v>
      </c>
      <c r="K1260" s="18">
        <f t="shared" si="230"/>
        <v>4925893.24</v>
      </c>
      <c r="L1260" s="19">
        <f t="shared" si="231"/>
        <v>20000000</v>
      </c>
      <c r="M1260" s="20"/>
      <c r="N1260" s="20"/>
      <c r="O1260" s="81"/>
      <c r="P1260" s="55"/>
      <c r="Q1260" s="55"/>
      <c r="R1260" s="14"/>
      <c r="S1260" s="14"/>
    </row>
    <row r="1261" spans="2:19" ht="12.95" hidden="1" customHeight="1" x14ac:dyDescent="0.25">
      <c r="B1261" s="16">
        <v>43273.083333333336</v>
      </c>
      <c r="C1261" s="50" t="s">
        <v>1209</v>
      </c>
      <c r="D1261" s="34"/>
      <c r="E1261" s="37">
        <v>5000000</v>
      </c>
      <c r="F1261" s="37"/>
      <c r="G1261" s="37">
        <v>5000000</v>
      </c>
      <c r="H1261" s="64"/>
      <c r="I1261" s="64">
        <v>31312.959999999999</v>
      </c>
      <c r="J1261" s="64">
        <v>42793.8</v>
      </c>
      <c r="K1261" s="18">
        <f t="shared" si="230"/>
        <v>4925893.24</v>
      </c>
      <c r="L1261" s="19">
        <f t="shared" si="231"/>
        <v>15000000</v>
      </c>
      <c r="M1261" s="20"/>
      <c r="N1261" s="20"/>
      <c r="O1261" s="81"/>
      <c r="P1261" s="55"/>
      <c r="Q1261" s="55"/>
      <c r="R1261" s="14"/>
      <c r="S1261" s="14"/>
    </row>
    <row r="1262" spans="2:19" ht="12.95" hidden="1" customHeight="1" x14ac:dyDescent="0.25">
      <c r="B1262" s="16">
        <v>43304.083333333336</v>
      </c>
      <c r="C1262" s="50" t="s">
        <v>1210</v>
      </c>
      <c r="D1262" s="34"/>
      <c r="E1262" s="37">
        <v>5000000</v>
      </c>
      <c r="F1262" s="37"/>
      <c r="G1262" s="37">
        <v>5000000</v>
      </c>
      <c r="H1262" s="64"/>
      <c r="I1262" s="64">
        <v>31312.959999999999</v>
      </c>
      <c r="J1262" s="64">
        <v>42793.8</v>
      </c>
      <c r="K1262" s="18">
        <f t="shared" si="230"/>
        <v>4925893.24</v>
      </c>
      <c r="L1262" s="19">
        <f t="shared" si="231"/>
        <v>10000000</v>
      </c>
      <c r="M1262" s="20"/>
      <c r="N1262" s="20"/>
      <c r="O1262" s="81">
        <f>+L1264-'[1]ANEXO 7 - PPTO VIG 2018'!T36</f>
        <v>0</v>
      </c>
      <c r="P1262" s="55"/>
      <c r="Q1262" s="55"/>
      <c r="R1262" s="14"/>
      <c r="S1262" s="14"/>
    </row>
    <row r="1263" spans="2:19" ht="12.95" hidden="1" customHeight="1" x14ac:dyDescent="0.25">
      <c r="B1263" s="16">
        <v>43349.083333333336</v>
      </c>
      <c r="C1263" s="50" t="s">
        <v>1211</v>
      </c>
      <c r="D1263" s="34"/>
      <c r="E1263" s="37">
        <v>5000000</v>
      </c>
      <c r="F1263" s="37"/>
      <c r="G1263" s="37">
        <v>5000000</v>
      </c>
      <c r="H1263" s="64"/>
      <c r="I1263" s="37">
        <v>31312.959999999999</v>
      </c>
      <c r="J1263" s="64">
        <v>42793.8</v>
      </c>
      <c r="K1263" s="18">
        <f t="shared" si="230"/>
        <v>4925893.24</v>
      </c>
      <c r="L1263" s="19">
        <f t="shared" si="231"/>
        <v>5000000</v>
      </c>
      <c r="M1263" s="20"/>
      <c r="N1263" s="20"/>
      <c r="O1263" s="81"/>
      <c r="P1263" s="55"/>
      <c r="Q1263" s="55"/>
      <c r="R1263" s="14"/>
      <c r="S1263" s="14"/>
    </row>
    <row r="1264" spans="2:19" ht="12.95" hidden="1" customHeight="1" x14ac:dyDescent="0.25">
      <c r="B1264" s="16">
        <v>43467.125</v>
      </c>
      <c r="C1264" s="50" t="s">
        <v>1212</v>
      </c>
      <c r="D1264" s="34"/>
      <c r="E1264" s="37">
        <v>5000000</v>
      </c>
      <c r="F1264" s="37"/>
      <c r="G1264" s="37">
        <v>5000000</v>
      </c>
      <c r="H1264" s="64"/>
      <c r="I1264" s="37">
        <v>31312.959999999999</v>
      </c>
      <c r="J1264" s="64">
        <v>42793.8</v>
      </c>
      <c r="K1264" s="18">
        <f>+G1264-H1264-I1264-J1264</f>
        <v>4925893.24</v>
      </c>
      <c r="L1264" s="19">
        <f t="shared" si="231"/>
        <v>0</v>
      </c>
      <c r="M1264" s="20"/>
      <c r="N1264" s="20"/>
      <c r="O1264" s="81"/>
      <c r="P1264" s="55"/>
      <c r="Q1264" s="55"/>
      <c r="R1264" s="14"/>
      <c r="S1264" s="14"/>
    </row>
    <row r="1265" spans="2:19" ht="12.95" hidden="1" customHeight="1" x14ac:dyDescent="0.25">
      <c r="B1265" s="9" t="s">
        <v>1213</v>
      </c>
      <c r="C1265" s="10"/>
      <c r="D1265" s="11">
        <v>65520000</v>
      </c>
      <c r="E1265" s="11">
        <f>+D1265</f>
        <v>65520000</v>
      </c>
      <c r="F1265" s="11"/>
      <c r="G1265" s="11"/>
      <c r="H1265" s="11"/>
      <c r="I1265" s="11"/>
      <c r="J1265" s="11"/>
      <c r="K1265" s="11"/>
      <c r="L1265" s="11">
        <f>+D1265</f>
        <v>65520000</v>
      </c>
      <c r="M1265" s="12"/>
      <c r="N1265" s="12"/>
      <c r="P1265" s="55"/>
      <c r="Q1265" s="55"/>
      <c r="R1265" s="14"/>
      <c r="S1265" s="14"/>
    </row>
    <row r="1266" spans="2:19" ht="12.95" hidden="1" customHeight="1" x14ac:dyDescent="0.25">
      <c r="B1266" s="16">
        <v>43179.083333333336</v>
      </c>
      <c r="C1266" s="50" t="s">
        <v>1214</v>
      </c>
      <c r="D1266" s="34"/>
      <c r="E1266" s="37">
        <v>9360000</v>
      </c>
      <c r="F1266" s="37"/>
      <c r="G1266" s="37">
        <f>+E1266</f>
        <v>9360000</v>
      </c>
      <c r="H1266" s="64">
        <v>224168.1</v>
      </c>
      <c r="I1266" s="64">
        <v>280173.77</v>
      </c>
      <c r="J1266" s="64">
        <v>75981.17</v>
      </c>
      <c r="K1266" s="18">
        <f t="shared" ref="K1266:K1271" si="232">+G1266-H1266-I1266-J1266</f>
        <v>8779676.9600000009</v>
      </c>
      <c r="L1266" s="19">
        <f t="shared" ref="L1266:L1272" si="233">+L1265-G1266</f>
        <v>56160000</v>
      </c>
      <c r="M1266" s="20"/>
      <c r="N1266" s="20"/>
      <c r="O1266" s="81"/>
      <c r="P1266" s="55"/>
      <c r="Q1266" s="55"/>
      <c r="R1266" s="14"/>
      <c r="S1266" s="14"/>
    </row>
    <row r="1267" spans="2:19" ht="12.95" hidden="1" customHeight="1" x14ac:dyDescent="0.25">
      <c r="B1267" s="16">
        <v>43210.083333333336</v>
      </c>
      <c r="C1267" s="50" t="s">
        <v>1215</v>
      </c>
      <c r="D1267" s="34"/>
      <c r="E1267" s="37">
        <v>9360000</v>
      </c>
      <c r="F1267" s="37"/>
      <c r="G1267" s="37">
        <v>9360000</v>
      </c>
      <c r="H1267" s="64">
        <v>224168.1</v>
      </c>
      <c r="I1267" s="64">
        <v>280173.77</v>
      </c>
      <c r="J1267" s="64">
        <v>67319.320000000007</v>
      </c>
      <c r="K1267" s="18">
        <f t="shared" si="232"/>
        <v>8788338.8100000005</v>
      </c>
      <c r="L1267" s="19">
        <f t="shared" si="233"/>
        <v>46800000</v>
      </c>
      <c r="M1267" s="20"/>
      <c r="N1267" s="20"/>
      <c r="O1267" s="81"/>
      <c r="P1267" s="55"/>
      <c r="Q1267" s="55"/>
      <c r="R1267" s="14"/>
      <c r="S1267" s="14"/>
    </row>
    <row r="1268" spans="2:19" ht="12.75" hidden="1" customHeight="1" x14ac:dyDescent="0.25">
      <c r="B1268" s="16">
        <v>43222.083333333336</v>
      </c>
      <c r="C1268" s="50" t="s">
        <v>1216</v>
      </c>
      <c r="D1268" s="34"/>
      <c r="E1268" s="37">
        <v>9360000</v>
      </c>
      <c r="F1268" s="37"/>
      <c r="G1268" s="37">
        <v>9360000</v>
      </c>
      <c r="H1268" s="64">
        <v>224168.1</v>
      </c>
      <c r="I1268" s="64">
        <v>280173.77</v>
      </c>
      <c r="J1268" s="64">
        <v>67319.320000000007</v>
      </c>
      <c r="K1268" s="18">
        <f t="shared" si="232"/>
        <v>8788338.8100000005</v>
      </c>
      <c r="L1268" s="19">
        <f t="shared" si="233"/>
        <v>37440000</v>
      </c>
      <c r="M1268" s="20"/>
      <c r="N1268" s="20"/>
      <c r="O1268" s="81"/>
      <c r="P1268" s="55"/>
      <c r="Q1268" s="55"/>
      <c r="R1268" s="14"/>
      <c r="S1268" s="14"/>
    </row>
    <row r="1269" spans="2:19" ht="12.75" hidden="1" customHeight="1" x14ac:dyDescent="0.25">
      <c r="B1269" s="16">
        <v>43269.083333333336</v>
      </c>
      <c r="C1269" s="50" t="s">
        <v>1217</v>
      </c>
      <c r="D1269" s="34"/>
      <c r="E1269" s="37">
        <v>9360000</v>
      </c>
      <c r="F1269" s="37"/>
      <c r="G1269" s="37">
        <v>9360000</v>
      </c>
      <c r="H1269" s="64">
        <v>224168.1</v>
      </c>
      <c r="I1269" s="64">
        <v>280173.77</v>
      </c>
      <c r="J1269" s="64">
        <v>67319.320000000007</v>
      </c>
      <c r="K1269" s="18">
        <f t="shared" si="232"/>
        <v>8788338.8100000005</v>
      </c>
      <c r="L1269" s="19">
        <f t="shared" si="233"/>
        <v>28080000</v>
      </c>
      <c r="M1269" s="20"/>
      <c r="N1269" s="20"/>
      <c r="O1269" s="81"/>
      <c r="P1269" s="55"/>
      <c r="Q1269" s="55"/>
      <c r="R1269" s="14"/>
      <c r="S1269" s="14"/>
    </row>
    <row r="1270" spans="2:19" ht="12.75" hidden="1" customHeight="1" x14ac:dyDescent="0.25">
      <c r="B1270" s="16">
        <v>43297.083333333336</v>
      </c>
      <c r="C1270" s="50" t="s">
        <v>1218</v>
      </c>
      <c r="D1270" s="34"/>
      <c r="E1270" s="37">
        <v>9360000</v>
      </c>
      <c r="F1270" s="37"/>
      <c r="G1270" s="37">
        <v>9360000</v>
      </c>
      <c r="H1270" s="64">
        <v>224168.1</v>
      </c>
      <c r="I1270" s="64">
        <v>280173.77</v>
      </c>
      <c r="J1270" s="64">
        <v>67319.320000000007</v>
      </c>
      <c r="K1270" s="18">
        <f t="shared" si="232"/>
        <v>8788338.8100000005</v>
      </c>
      <c r="L1270" s="19">
        <f t="shared" si="233"/>
        <v>18720000</v>
      </c>
      <c r="M1270" s="20"/>
      <c r="N1270" s="20"/>
      <c r="O1270" s="81">
        <f>+L1272-'[1]ANEXO 7 - PPTO VIG 2018'!T64</f>
        <v>0</v>
      </c>
      <c r="P1270" s="55"/>
      <c r="Q1270" s="55"/>
      <c r="R1270" s="14"/>
      <c r="S1270" s="14"/>
    </row>
    <row r="1271" spans="2:19" ht="12.75" hidden="1" customHeight="1" x14ac:dyDescent="0.25">
      <c r="B1271" s="16">
        <v>43320.083333333336</v>
      </c>
      <c r="C1271" s="50" t="s">
        <v>1219</v>
      </c>
      <c r="D1271" s="34"/>
      <c r="E1271" s="37">
        <v>9360000</v>
      </c>
      <c r="F1271" s="37"/>
      <c r="G1271" s="37">
        <v>9360000</v>
      </c>
      <c r="H1271" s="64">
        <v>224168.1</v>
      </c>
      <c r="I1271" s="64">
        <v>280173.77</v>
      </c>
      <c r="J1271" s="64">
        <v>67319.320000000007</v>
      </c>
      <c r="K1271" s="18">
        <f t="shared" si="232"/>
        <v>8788338.8100000005</v>
      </c>
      <c r="L1271" s="19">
        <f t="shared" si="233"/>
        <v>9360000</v>
      </c>
      <c r="M1271" s="20"/>
      <c r="N1271" s="20"/>
      <c r="O1271" s="81"/>
      <c r="P1271" s="55"/>
      <c r="Q1271" s="55"/>
      <c r="R1271" s="14"/>
      <c r="S1271" s="14"/>
    </row>
    <row r="1272" spans="2:19" ht="12.75" hidden="1" customHeight="1" x14ac:dyDescent="0.25">
      <c r="B1272" s="16">
        <v>43370.083333333336</v>
      </c>
      <c r="C1272" s="50" t="s">
        <v>1220</v>
      </c>
      <c r="D1272" s="34"/>
      <c r="E1272" s="37">
        <v>9360000</v>
      </c>
      <c r="F1272" s="37"/>
      <c r="G1272" s="37">
        <v>9360000</v>
      </c>
      <c r="H1272" s="64">
        <v>224168.1</v>
      </c>
      <c r="I1272" s="37">
        <v>280173.77</v>
      </c>
      <c r="J1272" s="64">
        <v>67319.320000000007</v>
      </c>
      <c r="K1272" s="18">
        <f>+G1272-H1272-I1272-J1272</f>
        <v>8788338.8100000005</v>
      </c>
      <c r="L1272" s="19">
        <f t="shared" si="233"/>
        <v>0</v>
      </c>
      <c r="M1272" s="20"/>
      <c r="N1272" s="20"/>
      <c r="O1272" s="81"/>
      <c r="P1272" s="55"/>
      <c r="Q1272" s="55"/>
      <c r="R1272" s="14"/>
      <c r="S1272" s="14"/>
    </row>
    <row r="1273" spans="2:19" ht="12.95" hidden="1" customHeight="1" x14ac:dyDescent="0.25">
      <c r="B1273" s="9" t="s">
        <v>1221</v>
      </c>
      <c r="C1273" s="10"/>
      <c r="D1273" s="11">
        <v>58100000</v>
      </c>
      <c r="E1273" s="11">
        <f>+D1273</f>
        <v>58100000</v>
      </c>
      <c r="F1273" s="11"/>
      <c r="G1273" s="11"/>
      <c r="H1273" s="11"/>
      <c r="I1273" s="11"/>
      <c r="J1273" s="11"/>
      <c r="K1273" s="11"/>
      <c r="L1273" s="11">
        <f>+D1273</f>
        <v>58100000</v>
      </c>
      <c r="M1273" s="12"/>
      <c r="N1273" s="12"/>
      <c r="P1273" s="55"/>
      <c r="Q1273" s="55"/>
      <c r="R1273" s="14"/>
      <c r="S1273" s="14"/>
    </row>
    <row r="1274" spans="2:19" ht="12.95" hidden="1" customHeight="1" x14ac:dyDescent="0.25">
      <c r="B1274" s="16">
        <v>43182.083333333336</v>
      </c>
      <c r="C1274" s="50" t="s">
        <v>1222</v>
      </c>
      <c r="D1274" s="34"/>
      <c r="E1274" s="37">
        <v>8300000</v>
      </c>
      <c r="F1274" s="37"/>
      <c r="G1274" s="37">
        <f>+E1274</f>
        <v>8300000</v>
      </c>
      <c r="H1274" s="64"/>
      <c r="I1274" s="64">
        <v>472679.99</v>
      </c>
      <c r="J1274" s="64">
        <v>71037.710000000006</v>
      </c>
      <c r="K1274" s="18">
        <f t="shared" ref="K1274:K1279" si="234">+G1274-H1274-I1274-J1274</f>
        <v>7756282.2999999998</v>
      </c>
      <c r="L1274" s="19">
        <f t="shared" ref="L1274:L1280" si="235">+L1273-G1274</f>
        <v>49800000</v>
      </c>
      <c r="M1274" s="20"/>
      <c r="N1274" s="20"/>
      <c r="O1274" s="81"/>
      <c r="P1274" s="55"/>
      <c r="Q1274" s="55"/>
      <c r="R1274" s="14"/>
      <c r="S1274" s="14"/>
    </row>
    <row r="1275" spans="2:19" ht="12.95" hidden="1" customHeight="1" x14ac:dyDescent="0.25">
      <c r="B1275" s="16">
        <v>43210.083333333336</v>
      </c>
      <c r="C1275" s="50" t="s">
        <v>1223</v>
      </c>
      <c r="D1275" s="34"/>
      <c r="E1275" s="37">
        <v>8300000</v>
      </c>
      <c r="F1275" s="37"/>
      <c r="G1275" s="37">
        <v>8300000</v>
      </c>
      <c r="H1275" s="64"/>
      <c r="I1275" s="64">
        <v>479652</v>
      </c>
      <c r="J1275" s="64">
        <v>71037.710000000006</v>
      </c>
      <c r="K1275" s="18">
        <f t="shared" si="234"/>
        <v>7749310.29</v>
      </c>
      <c r="L1275" s="19">
        <f t="shared" si="235"/>
        <v>41500000</v>
      </c>
      <c r="M1275" s="20"/>
      <c r="N1275" s="20"/>
      <c r="O1275" s="81"/>
      <c r="P1275" s="55"/>
      <c r="Q1275" s="55"/>
      <c r="R1275" s="14"/>
      <c r="S1275" s="14"/>
    </row>
    <row r="1276" spans="2:19" ht="12.95" hidden="1" customHeight="1" x14ac:dyDescent="0.25">
      <c r="B1276" s="16">
        <v>43236</v>
      </c>
      <c r="C1276" s="50" t="s">
        <v>1224</v>
      </c>
      <c r="D1276" s="34"/>
      <c r="E1276" s="37">
        <v>8300000</v>
      </c>
      <c r="F1276" s="37"/>
      <c r="G1276" s="37">
        <v>8300000</v>
      </c>
      <c r="H1276" s="64"/>
      <c r="I1276" s="64">
        <v>239867.41</v>
      </c>
      <c r="J1276" s="64">
        <v>71037.710000000006</v>
      </c>
      <c r="K1276" s="18">
        <f t="shared" si="234"/>
        <v>7989094.8799999999</v>
      </c>
      <c r="L1276" s="19">
        <f t="shared" si="235"/>
        <v>33200000</v>
      </c>
      <c r="M1276" s="20"/>
      <c r="N1276" s="20"/>
      <c r="O1276" s="81"/>
      <c r="P1276" s="55"/>
      <c r="Q1276" s="55"/>
      <c r="R1276" s="14"/>
      <c r="S1276" s="14"/>
    </row>
    <row r="1277" spans="2:19" ht="12.95" hidden="1" customHeight="1" x14ac:dyDescent="0.25">
      <c r="B1277" s="16">
        <v>43269.083333333336</v>
      </c>
      <c r="C1277" s="50" t="s">
        <v>1225</v>
      </c>
      <c r="D1277" s="34"/>
      <c r="E1277" s="37">
        <v>8300000</v>
      </c>
      <c r="F1277" s="37"/>
      <c r="G1277" s="37">
        <v>8300000</v>
      </c>
      <c r="H1277" s="64"/>
      <c r="I1277" s="64">
        <v>239867.41</v>
      </c>
      <c r="J1277" s="64">
        <v>71037.710000000006</v>
      </c>
      <c r="K1277" s="18">
        <f t="shared" si="234"/>
        <v>7989094.8799999999</v>
      </c>
      <c r="L1277" s="19">
        <f t="shared" si="235"/>
        <v>24900000</v>
      </c>
      <c r="M1277" s="20"/>
      <c r="N1277" s="20"/>
      <c r="O1277" s="81"/>
      <c r="P1277" s="55"/>
      <c r="Q1277" s="55"/>
      <c r="R1277" s="14"/>
      <c r="S1277" s="14"/>
    </row>
    <row r="1278" spans="2:19" ht="12.95" hidden="1" customHeight="1" x14ac:dyDescent="0.25">
      <c r="B1278" s="16">
        <v>43300.083333333336</v>
      </c>
      <c r="C1278" s="50" t="s">
        <v>1226</v>
      </c>
      <c r="D1278" s="34"/>
      <c r="E1278" s="37">
        <v>8300000</v>
      </c>
      <c r="F1278" s="37"/>
      <c r="G1278" s="37">
        <v>8300000</v>
      </c>
      <c r="H1278" s="64"/>
      <c r="I1278" s="64">
        <v>239867.41</v>
      </c>
      <c r="J1278" s="64">
        <v>71037.710000000006</v>
      </c>
      <c r="K1278" s="18">
        <f t="shared" si="234"/>
        <v>7989094.8799999999</v>
      </c>
      <c r="L1278" s="19">
        <f t="shared" si="235"/>
        <v>16600000</v>
      </c>
      <c r="M1278" s="20"/>
      <c r="N1278" s="20"/>
      <c r="O1278" s="81">
        <f>+'[1]ANEXO 7 - PPTO VIG 2018'!T65-L1280</f>
        <v>0</v>
      </c>
      <c r="P1278" s="55"/>
      <c r="Q1278" s="55"/>
      <c r="R1278" s="14"/>
      <c r="S1278" s="14"/>
    </row>
    <row r="1279" spans="2:19" ht="12.95" hidden="1" customHeight="1" x14ac:dyDescent="0.25">
      <c r="B1279" s="16">
        <v>43339.083333333336</v>
      </c>
      <c r="C1279" s="50" t="s">
        <v>1227</v>
      </c>
      <c r="D1279" s="34"/>
      <c r="E1279" s="37">
        <v>8300000</v>
      </c>
      <c r="F1279" s="37"/>
      <c r="G1279" s="37">
        <v>8300000</v>
      </c>
      <c r="H1279" s="64"/>
      <c r="I1279" s="64">
        <v>239867.41</v>
      </c>
      <c r="J1279" s="64">
        <v>71037.710000000006</v>
      </c>
      <c r="K1279" s="18">
        <f t="shared" si="234"/>
        <v>7989094.8799999999</v>
      </c>
      <c r="L1279" s="19">
        <f t="shared" si="235"/>
        <v>8300000</v>
      </c>
      <c r="M1279" s="20"/>
      <c r="N1279" s="20"/>
      <c r="O1279" s="81"/>
      <c r="P1279" s="55"/>
      <c r="Q1279" s="55"/>
      <c r="R1279" s="14"/>
      <c r="S1279" s="14"/>
    </row>
    <row r="1280" spans="2:19" ht="12.95" hidden="1" customHeight="1" x14ac:dyDescent="0.25">
      <c r="B1280" s="16">
        <v>43374.083333333336</v>
      </c>
      <c r="C1280" s="50" t="s">
        <v>1228</v>
      </c>
      <c r="D1280" s="34"/>
      <c r="E1280" s="37">
        <v>8300000</v>
      </c>
      <c r="F1280" s="37"/>
      <c r="G1280" s="37">
        <v>8300000</v>
      </c>
      <c r="H1280" s="64"/>
      <c r="I1280" s="64">
        <v>239867.41</v>
      </c>
      <c r="J1280" s="64">
        <v>71037.710000000006</v>
      </c>
      <c r="K1280" s="18">
        <f>+G1280-H1280-I1280-J1280</f>
        <v>7989094.8799999999</v>
      </c>
      <c r="L1280" s="19">
        <f t="shared" si="235"/>
        <v>0</v>
      </c>
      <c r="M1280" s="20"/>
      <c r="N1280" s="20"/>
      <c r="O1280" s="81"/>
      <c r="P1280" s="55"/>
      <c r="Q1280" s="55"/>
      <c r="R1280" s="14"/>
      <c r="S1280" s="14"/>
    </row>
    <row r="1281" spans="2:19" ht="12.95" hidden="1" customHeight="1" x14ac:dyDescent="0.25">
      <c r="B1281" s="9" t="s">
        <v>1229</v>
      </c>
      <c r="C1281" s="10"/>
      <c r="D1281" s="11">
        <v>20384000</v>
      </c>
      <c r="E1281" s="11">
        <f>+D1281</f>
        <v>20384000</v>
      </c>
      <c r="F1281" s="11"/>
      <c r="G1281" s="11"/>
      <c r="H1281" s="11"/>
      <c r="I1281" s="11"/>
      <c r="J1281" s="11"/>
      <c r="K1281" s="11"/>
      <c r="L1281" s="11">
        <f>+D1281</f>
        <v>20384000</v>
      </c>
      <c r="M1281" s="12"/>
      <c r="N1281" s="12"/>
      <c r="P1281" s="55"/>
      <c r="Q1281" s="55"/>
      <c r="R1281" s="14"/>
      <c r="S1281" s="14"/>
    </row>
    <row r="1282" spans="2:19" ht="12.95" hidden="1" customHeight="1" x14ac:dyDescent="0.25">
      <c r="B1282" s="16">
        <v>43182.083333333336</v>
      </c>
      <c r="C1282" s="50" t="s">
        <v>1230</v>
      </c>
      <c r="D1282" s="34"/>
      <c r="E1282" s="37">
        <v>2912000</v>
      </c>
      <c r="F1282" s="37"/>
      <c r="G1282" s="37">
        <f>+E1282</f>
        <v>2912000</v>
      </c>
      <c r="H1282" s="64"/>
      <c r="I1282" s="64"/>
      <c r="J1282" s="64">
        <v>24923.11</v>
      </c>
      <c r="K1282" s="18">
        <f t="shared" ref="K1282:K1287" si="236">+G1282-H1282-I1282-J1282</f>
        <v>2887076.89</v>
      </c>
      <c r="L1282" s="19">
        <f t="shared" ref="L1282:L1288" si="237">+L1281-G1282</f>
        <v>17472000</v>
      </c>
      <c r="M1282" s="20"/>
      <c r="N1282" s="20"/>
      <c r="O1282" s="81"/>
      <c r="P1282" s="55"/>
      <c r="Q1282" s="55"/>
      <c r="R1282" s="14"/>
      <c r="S1282" s="14"/>
    </row>
    <row r="1283" spans="2:19" ht="12.95" hidden="1" customHeight="1" x14ac:dyDescent="0.25">
      <c r="B1283" s="16">
        <v>43213.083333333336</v>
      </c>
      <c r="C1283" s="50" t="s">
        <v>1231</v>
      </c>
      <c r="D1283" s="34"/>
      <c r="E1283" s="37">
        <v>2912000</v>
      </c>
      <c r="F1283" s="37"/>
      <c r="G1283" s="37">
        <v>2912000</v>
      </c>
      <c r="H1283" s="64"/>
      <c r="I1283" s="64"/>
      <c r="J1283" s="64">
        <v>24923.11</v>
      </c>
      <c r="K1283" s="18">
        <f t="shared" si="236"/>
        <v>2887076.89</v>
      </c>
      <c r="L1283" s="19">
        <f t="shared" si="237"/>
        <v>14560000</v>
      </c>
      <c r="M1283" s="20"/>
      <c r="N1283" s="20"/>
      <c r="O1283" s="81"/>
      <c r="P1283" s="55"/>
      <c r="Q1283" s="55"/>
      <c r="R1283" s="14"/>
      <c r="S1283" s="14"/>
    </row>
    <row r="1284" spans="2:19" ht="12.95" hidden="1" customHeight="1" x14ac:dyDescent="0.25">
      <c r="B1284" s="16">
        <v>43270.083333333336</v>
      </c>
      <c r="C1284" s="50" t="s">
        <v>1232</v>
      </c>
      <c r="D1284" s="34"/>
      <c r="E1284" s="37">
        <v>2912000</v>
      </c>
      <c r="F1284" s="37"/>
      <c r="G1284" s="37">
        <v>2912000</v>
      </c>
      <c r="H1284" s="64"/>
      <c r="I1284" s="64"/>
      <c r="J1284" s="64">
        <v>24923.11</v>
      </c>
      <c r="K1284" s="18">
        <f t="shared" si="236"/>
        <v>2887076.89</v>
      </c>
      <c r="L1284" s="19">
        <f t="shared" si="237"/>
        <v>11648000</v>
      </c>
      <c r="M1284" s="20"/>
      <c r="N1284" s="20"/>
      <c r="P1284" s="55"/>
      <c r="Q1284" s="55"/>
      <c r="R1284" s="14"/>
      <c r="S1284" s="14"/>
    </row>
    <row r="1285" spans="2:19" ht="12.75" hidden="1" customHeight="1" x14ac:dyDescent="0.25">
      <c r="B1285" s="16">
        <v>43320.083333333336</v>
      </c>
      <c r="C1285" s="50" t="s">
        <v>1233</v>
      </c>
      <c r="D1285" s="34"/>
      <c r="E1285" s="37">
        <v>2912000</v>
      </c>
      <c r="F1285" s="37"/>
      <c r="G1285" s="37">
        <v>2912000</v>
      </c>
      <c r="H1285" s="64"/>
      <c r="I1285" s="64"/>
      <c r="J1285" s="64">
        <v>24923.11</v>
      </c>
      <c r="K1285" s="18">
        <f t="shared" si="236"/>
        <v>2887076.89</v>
      </c>
      <c r="L1285" s="19">
        <f t="shared" si="237"/>
        <v>8736000</v>
      </c>
      <c r="M1285" s="20"/>
      <c r="N1285" s="20"/>
      <c r="O1285" s="81"/>
      <c r="P1285" s="55"/>
      <c r="Q1285" s="55"/>
      <c r="R1285" s="14"/>
      <c r="S1285" s="14"/>
    </row>
    <row r="1286" spans="2:19" ht="12.75" hidden="1" customHeight="1" x14ac:dyDescent="0.25">
      <c r="B1286" s="16">
        <v>43347.083333333336</v>
      </c>
      <c r="C1286" s="50" t="s">
        <v>1234</v>
      </c>
      <c r="D1286" s="34"/>
      <c r="E1286" s="37">
        <v>2912000</v>
      </c>
      <c r="F1286" s="37"/>
      <c r="G1286" s="37">
        <v>2912000</v>
      </c>
      <c r="H1286" s="64"/>
      <c r="I1286" s="37"/>
      <c r="J1286" s="64">
        <v>24923.11</v>
      </c>
      <c r="K1286" s="18">
        <f t="shared" si="236"/>
        <v>2887076.89</v>
      </c>
      <c r="L1286" s="19">
        <f t="shared" si="237"/>
        <v>5824000</v>
      </c>
      <c r="M1286" s="20"/>
      <c r="N1286" s="20"/>
      <c r="O1286" s="81">
        <f>+L1288-'[1]ANEXO 7 - PPTO VIG 2018'!T75</f>
        <v>0</v>
      </c>
      <c r="P1286" s="55"/>
      <c r="Q1286" s="55"/>
      <c r="R1286" s="14"/>
      <c r="S1286" s="14"/>
    </row>
    <row r="1287" spans="2:19" ht="12.75" hidden="1" customHeight="1" x14ac:dyDescent="0.25">
      <c r="B1287" s="16">
        <v>43370.083333333336</v>
      </c>
      <c r="C1287" s="50" t="s">
        <v>1235</v>
      </c>
      <c r="D1287" s="34"/>
      <c r="E1287" s="37">
        <v>2912000</v>
      </c>
      <c r="F1287" s="37"/>
      <c r="G1287" s="37">
        <v>2912000</v>
      </c>
      <c r="H1287" s="64"/>
      <c r="I1287" s="37"/>
      <c r="J1287" s="64">
        <v>24923.11</v>
      </c>
      <c r="K1287" s="18">
        <f t="shared" si="236"/>
        <v>2887076.89</v>
      </c>
      <c r="L1287" s="19">
        <f t="shared" si="237"/>
        <v>2912000</v>
      </c>
      <c r="M1287" s="20"/>
      <c r="N1287" s="20"/>
      <c r="O1287" s="81"/>
      <c r="P1287" s="55"/>
      <c r="Q1287" s="55"/>
      <c r="R1287" s="14"/>
      <c r="S1287" s="14"/>
    </row>
    <row r="1288" spans="2:19" ht="12.75" hidden="1" customHeight="1" x14ac:dyDescent="0.25">
      <c r="B1288" s="16">
        <v>43395.083333333336</v>
      </c>
      <c r="C1288" s="50" t="s">
        <v>1236</v>
      </c>
      <c r="D1288" s="34"/>
      <c r="E1288" s="37">
        <v>2912000</v>
      </c>
      <c r="F1288" s="37"/>
      <c r="G1288" s="37">
        <v>2912000</v>
      </c>
      <c r="H1288" s="64"/>
      <c r="I1288" s="37"/>
      <c r="J1288" s="64">
        <v>24923.11</v>
      </c>
      <c r="K1288" s="18">
        <f>+G1288-H1288-I1288-J1288</f>
        <v>2887076.89</v>
      </c>
      <c r="L1288" s="19">
        <f t="shared" si="237"/>
        <v>0</v>
      </c>
      <c r="M1288" s="20"/>
      <c r="N1288" s="20"/>
      <c r="O1288" s="81"/>
      <c r="P1288" s="55"/>
      <c r="Q1288" s="55"/>
      <c r="R1288" s="14"/>
      <c r="S1288" s="14"/>
    </row>
    <row r="1289" spans="2:19" ht="12.95" hidden="1" customHeight="1" x14ac:dyDescent="0.25">
      <c r="B1289" s="9" t="s">
        <v>1237</v>
      </c>
      <c r="C1289" s="10"/>
      <c r="D1289" s="11">
        <v>71500000</v>
      </c>
      <c r="E1289" s="11">
        <f>+D1289</f>
        <v>71500000</v>
      </c>
      <c r="F1289" s="11"/>
      <c r="G1289" s="11"/>
      <c r="H1289" s="11"/>
      <c r="I1289" s="11"/>
      <c r="J1289" s="11"/>
      <c r="K1289" s="11"/>
      <c r="L1289" s="11">
        <f>+D1289</f>
        <v>71500000</v>
      </c>
      <c r="M1289" s="12"/>
      <c r="N1289" s="12"/>
      <c r="P1289" s="55"/>
      <c r="Q1289" s="55"/>
      <c r="R1289" s="14"/>
      <c r="S1289" s="14"/>
    </row>
    <row r="1290" spans="2:19" ht="12.95" hidden="1" customHeight="1" x14ac:dyDescent="0.25">
      <c r="B1290" s="16">
        <v>43182.083333333336</v>
      </c>
      <c r="C1290" s="50" t="s">
        <v>1238</v>
      </c>
      <c r="D1290" s="34"/>
      <c r="E1290" s="37">
        <v>6500000</v>
      </c>
      <c r="F1290" s="37"/>
      <c r="G1290" s="37">
        <f>+E1290</f>
        <v>6500000</v>
      </c>
      <c r="H1290" s="64"/>
      <c r="I1290" s="64">
        <v>220253.72</v>
      </c>
      <c r="J1290" s="64">
        <v>55631.94</v>
      </c>
      <c r="K1290" s="18">
        <f t="shared" ref="K1290:K1295" si="238">+G1290-H1290-I1290-J1290</f>
        <v>6224114.3399999999</v>
      </c>
      <c r="L1290" s="19">
        <f t="shared" ref="L1290:L1300" si="239">+L1289-G1290</f>
        <v>65000000</v>
      </c>
      <c r="M1290" s="20"/>
      <c r="N1290" s="20"/>
      <c r="O1290" s="81"/>
      <c r="P1290" s="55"/>
      <c r="Q1290" s="55"/>
      <c r="R1290" s="14"/>
      <c r="S1290" s="14"/>
    </row>
    <row r="1291" spans="2:19" ht="12.95" hidden="1" customHeight="1" x14ac:dyDescent="0.25">
      <c r="B1291" s="16">
        <v>43209.083333333336</v>
      </c>
      <c r="C1291" s="50" t="s">
        <v>1239</v>
      </c>
      <c r="D1291" s="34"/>
      <c r="E1291" s="37">
        <v>6500000</v>
      </c>
      <c r="F1291" s="37"/>
      <c r="G1291" s="37">
        <v>6500000</v>
      </c>
      <c r="H1291" s="64"/>
      <c r="I1291" s="64">
        <v>220253.72</v>
      </c>
      <c r="J1291" s="64">
        <v>55631.94</v>
      </c>
      <c r="K1291" s="18">
        <f t="shared" si="238"/>
        <v>6224114.3399999999</v>
      </c>
      <c r="L1291" s="19">
        <f t="shared" si="239"/>
        <v>58500000</v>
      </c>
      <c r="M1291" s="20"/>
      <c r="N1291" s="20"/>
      <c r="O1291" s="81"/>
      <c r="P1291" s="55"/>
      <c r="Q1291" s="55"/>
      <c r="R1291" s="14"/>
      <c r="S1291" s="14"/>
    </row>
    <row r="1292" spans="2:19" ht="12.75" hidden="1" customHeight="1" x14ac:dyDescent="0.25">
      <c r="B1292" s="16">
        <v>43230</v>
      </c>
      <c r="C1292" s="50" t="s">
        <v>1240</v>
      </c>
      <c r="D1292" s="34"/>
      <c r="E1292" s="37">
        <v>6500000</v>
      </c>
      <c r="F1292" s="37"/>
      <c r="G1292" s="37">
        <v>6500000</v>
      </c>
      <c r="H1292" s="64"/>
      <c r="I1292" s="64">
        <v>220253.72</v>
      </c>
      <c r="J1292" s="64">
        <v>55631.94</v>
      </c>
      <c r="K1292" s="18">
        <f t="shared" si="238"/>
        <v>6224114.3399999999</v>
      </c>
      <c r="L1292" s="19">
        <f t="shared" si="239"/>
        <v>52000000</v>
      </c>
      <c r="M1292" s="20"/>
      <c r="N1292" s="20"/>
      <c r="O1292" s="81"/>
      <c r="P1292" s="55"/>
      <c r="Q1292" s="55"/>
      <c r="R1292" s="14"/>
      <c r="S1292" s="14"/>
    </row>
    <row r="1293" spans="2:19" ht="12.75" hidden="1" customHeight="1" x14ac:dyDescent="0.25">
      <c r="B1293" s="16">
        <v>43259.083333333336</v>
      </c>
      <c r="C1293" s="50" t="s">
        <v>1241</v>
      </c>
      <c r="D1293" s="34"/>
      <c r="E1293" s="37">
        <v>6500000</v>
      </c>
      <c r="F1293" s="37"/>
      <c r="G1293" s="37">
        <v>6500000</v>
      </c>
      <c r="H1293" s="64"/>
      <c r="I1293" s="64">
        <v>220253.72</v>
      </c>
      <c r="J1293" s="64">
        <v>55631.94</v>
      </c>
      <c r="K1293" s="18">
        <f t="shared" si="238"/>
        <v>6224114.3399999999</v>
      </c>
      <c r="L1293" s="19">
        <f t="shared" si="239"/>
        <v>45500000</v>
      </c>
      <c r="M1293" s="20"/>
      <c r="N1293" s="20"/>
      <c r="O1293" s="81"/>
      <c r="P1293" s="55"/>
      <c r="Q1293" s="55"/>
      <c r="R1293" s="14"/>
      <c r="S1293" s="14"/>
    </row>
    <row r="1294" spans="2:19" ht="12.75" hidden="1" customHeight="1" x14ac:dyDescent="0.25">
      <c r="B1294" s="16">
        <v>43290.083333333336</v>
      </c>
      <c r="C1294" s="50" t="s">
        <v>1242</v>
      </c>
      <c r="D1294" s="34"/>
      <c r="E1294" s="37">
        <v>6500000</v>
      </c>
      <c r="F1294" s="37"/>
      <c r="G1294" s="37">
        <v>6500000</v>
      </c>
      <c r="H1294" s="64"/>
      <c r="I1294" s="64">
        <v>220253.72</v>
      </c>
      <c r="J1294" s="64">
        <v>55631.94</v>
      </c>
      <c r="K1294" s="18">
        <f t="shared" si="238"/>
        <v>6224114.3399999999</v>
      </c>
      <c r="L1294" s="19">
        <f t="shared" si="239"/>
        <v>39000000</v>
      </c>
      <c r="M1294" s="20"/>
      <c r="N1294" s="20"/>
      <c r="O1294" s="81">
        <f>+L1300-'[1]ANEXO 7 - PPTO VIG 2018'!T66</f>
        <v>0</v>
      </c>
      <c r="P1294" s="55"/>
      <c r="Q1294" s="55"/>
      <c r="R1294" s="14"/>
      <c r="S1294" s="14"/>
    </row>
    <row r="1295" spans="2:19" ht="12.75" hidden="1" customHeight="1" x14ac:dyDescent="0.25">
      <c r="B1295" s="16">
        <v>43321.083333333336</v>
      </c>
      <c r="C1295" s="50" t="s">
        <v>1243</v>
      </c>
      <c r="D1295" s="34"/>
      <c r="E1295" s="37">
        <v>6500000</v>
      </c>
      <c r="F1295" s="37"/>
      <c r="G1295" s="37">
        <v>6500000</v>
      </c>
      <c r="H1295" s="64"/>
      <c r="I1295" s="64">
        <v>220253.72</v>
      </c>
      <c r="J1295" s="64">
        <v>55631.94</v>
      </c>
      <c r="K1295" s="18">
        <f t="shared" si="238"/>
        <v>6224114.3399999999</v>
      </c>
      <c r="L1295" s="19">
        <f t="shared" si="239"/>
        <v>32500000</v>
      </c>
      <c r="M1295" s="20"/>
      <c r="N1295" s="20"/>
      <c r="O1295" s="81"/>
      <c r="P1295" s="55"/>
      <c r="Q1295" s="55"/>
      <c r="R1295" s="14"/>
      <c r="S1295" s="14"/>
    </row>
    <row r="1296" spans="2:19" ht="12.75" hidden="1" customHeight="1" x14ac:dyDescent="0.25">
      <c r="B1296" s="16">
        <v>43353.083333333336</v>
      </c>
      <c r="C1296" s="50" t="s">
        <v>1244</v>
      </c>
      <c r="D1296" s="34"/>
      <c r="E1296" s="37">
        <v>6500000</v>
      </c>
      <c r="F1296" s="37"/>
      <c r="G1296" s="37">
        <v>6500000</v>
      </c>
      <c r="H1296" s="64"/>
      <c r="I1296" s="37">
        <v>220253.72</v>
      </c>
      <c r="J1296" s="64">
        <v>55631.94</v>
      </c>
      <c r="K1296" s="18">
        <f>+G1296-H1296-I1296-J1296</f>
        <v>6224114.3399999999</v>
      </c>
      <c r="L1296" s="19">
        <f t="shared" si="239"/>
        <v>26000000</v>
      </c>
      <c r="M1296" s="20"/>
      <c r="N1296" s="20"/>
      <c r="O1296" s="81"/>
      <c r="P1296" s="55"/>
      <c r="Q1296" s="55"/>
      <c r="R1296" s="14"/>
      <c r="S1296" s="14"/>
    </row>
    <row r="1297" spans="2:19" ht="12.75" hidden="1" customHeight="1" x14ac:dyDescent="0.25">
      <c r="B1297" s="16">
        <v>43385.083333333336</v>
      </c>
      <c r="C1297" s="50" t="s">
        <v>1245</v>
      </c>
      <c r="D1297" s="34"/>
      <c r="E1297" s="37">
        <v>6500000</v>
      </c>
      <c r="F1297" s="37"/>
      <c r="G1297" s="37">
        <v>6500000</v>
      </c>
      <c r="H1297" s="64"/>
      <c r="I1297" s="37">
        <v>220253.72</v>
      </c>
      <c r="J1297" s="64">
        <v>55631.94</v>
      </c>
      <c r="K1297" s="18">
        <f>+G1297-H1297-I1297-J1297</f>
        <v>6224114.3399999999</v>
      </c>
      <c r="L1297" s="19">
        <f t="shared" si="239"/>
        <v>19500000</v>
      </c>
      <c r="M1297" s="20"/>
      <c r="N1297" s="20"/>
      <c r="O1297" s="81"/>
      <c r="P1297" s="55"/>
      <c r="Q1297" s="55"/>
      <c r="R1297" s="14"/>
      <c r="S1297" s="14"/>
    </row>
    <row r="1298" spans="2:19" ht="12.75" hidden="1" customHeight="1" x14ac:dyDescent="0.25">
      <c r="B1298" s="16">
        <v>43423.125</v>
      </c>
      <c r="C1298" s="50" t="s">
        <v>1246</v>
      </c>
      <c r="D1298" s="34"/>
      <c r="E1298" s="37">
        <v>6500000</v>
      </c>
      <c r="F1298" s="37"/>
      <c r="G1298" s="37">
        <v>6500000</v>
      </c>
      <c r="H1298" s="64"/>
      <c r="I1298" s="37">
        <v>220253.72</v>
      </c>
      <c r="J1298" s="64">
        <v>55631.94</v>
      </c>
      <c r="K1298" s="18">
        <f>+G1298-H1298-I1298-J1298</f>
        <v>6224114.3399999999</v>
      </c>
      <c r="L1298" s="19">
        <f t="shared" si="239"/>
        <v>13000000</v>
      </c>
      <c r="M1298" s="20"/>
      <c r="N1298" s="20"/>
      <c r="O1298" s="81"/>
      <c r="P1298" s="55"/>
      <c r="Q1298" s="55"/>
      <c r="R1298" s="14"/>
      <c r="S1298" s="14"/>
    </row>
    <row r="1299" spans="2:19" ht="12.75" hidden="1" customHeight="1" x14ac:dyDescent="0.25">
      <c r="B1299" s="16">
        <v>43446.125</v>
      </c>
      <c r="C1299" s="50" t="s">
        <v>1247</v>
      </c>
      <c r="D1299" s="34"/>
      <c r="E1299" s="37">
        <v>6500000</v>
      </c>
      <c r="F1299" s="37"/>
      <c r="G1299" s="37">
        <v>6500000</v>
      </c>
      <c r="H1299" s="64"/>
      <c r="I1299" s="37">
        <v>220253.72</v>
      </c>
      <c r="J1299" s="64">
        <v>55631.94</v>
      </c>
      <c r="K1299" s="18">
        <f>+G1299-H1299-I1299-J1299</f>
        <v>6224114.3399999999</v>
      </c>
      <c r="L1299" s="19">
        <f t="shared" si="239"/>
        <v>6500000</v>
      </c>
      <c r="M1299" s="20"/>
      <c r="N1299" s="20"/>
      <c r="O1299" s="81"/>
      <c r="P1299" s="55"/>
      <c r="Q1299" s="55"/>
      <c r="R1299" s="14"/>
      <c r="S1299" s="14"/>
    </row>
    <row r="1300" spans="2:19" ht="12.75" hidden="1" customHeight="1" x14ac:dyDescent="0.25">
      <c r="B1300" s="16">
        <v>43488.125</v>
      </c>
      <c r="C1300" s="50" t="s">
        <v>1248</v>
      </c>
      <c r="D1300" s="34"/>
      <c r="E1300" s="37">
        <v>6500000</v>
      </c>
      <c r="F1300" s="37"/>
      <c r="G1300" s="37">
        <v>6500000</v>
      </c>
      <c r="H1300" s="64"/>
      <c r="I1300" s="37">
        <v>200145.98</v>
      </c>
      <c r="J1300" s="64">
        <v>55631.94</v>
      </c>
      <c r="K1300" s="18">
        <f>+G1300-H1300-I1300-J1300</f>
        <v>6244222.0799999991</v>
      </c>
      <c r="L1300" s="19">
        <f t="shared" si="239"/>
        <v>0</v>
      </c>
      <c r="M1300" s="20"/>
      <c r="N1300" s="20"/>
      <c r="O1300" s="81"/>
      <c r="P1300" s="55"/>
      <c r="Q1300" s="55"/>
      <c r="R1300" s="14"/>
      <c r="S1300" s="14"/>
    </row>
    <row r="1301" spans="2:19" ht="12.95" hidden="1" customHeight="1" x14ac:dyDescent="0.25">
      <c r="B1301" s="9" t="s">
        <v>1249</v>
      </c>
      <c r="C1301" s="10"/>
      <c r="D1301" s="11">
        <v>88000000</v>
      </c>
      <c r="E1301" s="11">
        <f>+D1301</f>
        <v>88000000</v>
      </c>
      <c r="F1301" s="11"/>
      <c r="G1301" s="11"/>
      <c r="H1301" s="11"/>
      <c r="I1301" s="11"/>
      <c r="J1301" s="11"/>
      <c r="K1301" s="11"/>
      <c r="L1301" s="11">
        <f>+D1301</f>
        <v>88000000</v>
      </c>
      <c r="M1301" s="12"/>
      <c r="N1301" s="12"/>
      <c r="P1301" s="55"/>
      <c r="Q1301" s="55"/>
      <c r="R1301" s="14"/>
      <c r="S1301" s="14"/>
    </row>
    <row r="1302" spans="2:19" ht="12.95" hidden="1" customHeight="1" x14ac:dyDescent="0.25">
      <c r="B1302" s="16">
        <v>43182.083333333336</v>
      </c>
      <c r="C1302" s="50" t="s">
        <v>1250</v>
      </c>
      <c r="D1302" s="34"/>
      <c r="E1302" s="37">
        <v>8000000</v>
      </c>
      <c r="F1302" s="37"/>
      <c r="G1302" s="37">
        <f>+E1302</f>
        <v>8000000</v>
      </c>
      <c r="H1302" s="64"/>
      <c r="I1302" s="64">
        <v>424128</v>
      </c>
      <c r="J1302" s="64">
        <v>68470.080000000002</v>
      </c>
      <c r="K1302" s="18">
        <f t="shared" ref="K1302:K1307" si="240">+G1302-H1302-I1302-J1302</f>
        <v>7507401.9199999999</v>
      </c>
      <c r="L1302" s="19">
        <f t="shared" ref="L1302:L1312" si="241">+L1301-G1302</f>
        <v>80000000</v>
      </c>
      <c r="M1302" s="20"/>
      <c r="N1302" s="20"/>
      <c r="O1302" s="81"/>
      <c r="P1302" s="55"/>
      <c r="Q1302" s="55"/>
      <c r="R1302" s="14"/>
      <c r="S1302" s="14"/>
    </row>
    <row r="1303" spans="2:19" ht="12.95" hidden="1" customHeight="1" x14ac:dyDescent="0.25">
      <c r="B1303" s="16">
        <v>43209.083333333336</v>
      </c>
      <c r="C1303" s="50" t="s">
        <v>1251</v>
      </c>
      <c r="D1303" s="34"/>
      <c r="E1303" s="37">
        <v>8000000</v>
      </c>
      <c r="F1303" s="37"/>
      <c r="G1303" s="37">
        <v>8000000</v>
      </c>
      <c r="H1303" s="64"/>
      <c r="I1303" s="64">
        <v>423960</v>
      </c>
      <c r="J1303" s="64">
        <v>68470.080000000002</v>
      </c>
      <c r="K1303" s="18">
        <f t="shared" si="240"/>
        <v>7507569.9199999999</v>
      </c>
      <c r="L1303" s="19">
        <f t="shared" si="241"/>
        <v>72000000</v>
      </c>
      <c r="M1303" s="20"/>
      <c r="N1303" s="20"/>
      <c r="O1303" s="81"/>
      <c r="P1303" s="55"/>
      <c r="Q1303" s="55"/>
      <c r="R1303" s="14"/>
      <c r="S1303" s="14"/>
    </row>
    <row r="1304" spans="2:19" ht="12.75" hidden="1" customHeight="1" x14ac:dyDescent="0.25">
      <c r="B1304" s="16">
        <v>43236</v>
      </c>
      <c r="C1304" s="50" t="s">
        <v>1252</v>
      </c>
      <c r="D1304" s="34"/>
      <c r="E1304" s="37">
        <v>8000000</v>
      </c>
      <c r="F1304" s="37"/>
      <c r="G1304" s="37">
        <v>8000000</v>
      </c>
      <c r="H1304" s="64"/>
      <c r="I1304" s="64">
        <v>423960</v>
      </c>
      <c r="J1304" s="64">
        <v>68470.080000000002</v>
      </c>
      <c r="K1304" s="18">
        <f t="shared" si="240"/>
        <v>7507569.9199999999</v>
      </c>
      <c r="L1304" s="19">
        <f t="shared" si="241"/>
        <v>64000000</v>
      </c>
      <c r="M1304" s="20"/>
      <c r="N1304" s="20"/>
      <c r="O1304" s="81"/>
      <c r="P1304" s="55"/>
      <c r="Q1304" s="55"/>
      <c r="R1304" s="14"/>
      <c r="S1304" s="14"/>
    </row>
    <row r="1305" spans="2:19" ht="12.75" hidden="1" customHeight="1" x14ac:dyDescent="0.25">
      <c r="B1305" s="16">
        <v>43259.083333333336</v>
      </c>
      <c r="C1305" s="50" t="s">
        <v>1253</v>
      </c>
      <c r="D1305" s="34"/>
      <c r="E1305" s="37">
        <v>8000000</v>
      </c>
      <c r="F1305" s="37"/>
      <c r="G1305" s="37">
        <v>8000000</v>
      </c>
      <c r="H1305" s="64"/>
      <c r="I1305" s="64">
        <v>423960</v>
      </c>
      <c r="J1305" s="64">
        <v>68470.080000000002</v>
      </c>
      <c r="K1305" s="18">
        <f t="shared" si="240"/>
        <v>7507569.9199999999</v>
      </c>
      <c r="L1305" s="19">
        <f t="shared" si="241"/>
        <v>56000000</v>
      </c>
      <c r="M1305" s="20"/>
      <c r="N1305" s="20"/>
      <c r="O1305" s="81"/>
      <c r="P1305" s="55"/>
      <c r="Q1305" s="55"/>
      <c r="R1305" s="14"/>
      <c r="S1305" s="14"/>
    </row>
    <row r="1306" spans="2:19" ht="12.75" hidden="1" customHeight="1" x14ac:dyDescent="0.25">
      <c r="B1306" s="16">
        <v>43287.083333333336</v>
      </c>
      <c r="C1306" s="50" t="s">
        <v>1254</v>
      </c>
      <c r="D1306" s="34"/>
      <c r="E1306" s="37">
        <v>8000000</v>
      </c>
      <c r="F1306" s="37"/>
      <c r="G1306" s="37">
        <v>8000000</v>
      </c>
      <c r="H1306" s="64"/>
      <c r="I1306" s="64">
        <v>423960</v>
      </c>
      <c r="J1306" s="64">
        <v>68470.080000000002</v>
      </c>
      <c r="K1306" s="18">
        <f t="shared" si="240"/>
        <v>7507569.9199999999</v>
      </c>
      <c r="L1306" s="19">
        <f t="shared" si="241"/>
        <v>48000000</v>
      </c>
      <c r="M1306" s="20"/>
      <c r="N1306" s="20"/>
      <c r="O1306" s="81">
        <f>+L1312-'[1]ANEXO 7 - PPTO VIG 2018'!T38</f>
        <v>0</v>
      </c>
      <c r="P1306" s="55"/>
      <c r="Q1306" s="55"/>
      <c r="R1306" s="14"/>
      <c r="S1306" s="14"/>
    </row>
    <row r="1307" spans="2:19" ht="12.75" hidden="1" customHeight="1" x14ac:dyDescent="0.25">
      <c r="B1307" s="16">
        <v>43314.083333333336</v>
      </c>
      <c r="C1307" s="50" t="s">
        <v>1255</v>
      </c>
      <c r="D1307" s="34"/>
      <c r="E1307" s="37">
        <v>8000000</v>
      </c>
      <c r="F1307" s="37"/>
      <c r="G1307" s="37">
        <v>8000000</v>
      </c>
      <c r="H1307" s="64"/>
      <c r="I1307" s="64">
        <v>423960</v>
      </c>
      <c r="J1307" s="64">
        <v>68470.080000000002</v>
      </c>
      <c r="K1307" s="18">
        <f t="shared" si="240"/>
        <v>7507569.9199999999</v>
      </c>
      <c r="L1307" s="19">
        <f t="shared" si="241"/>
        <v>40000000</v>
      </c>
      <c r="M1307" s="20"/>
      <c r="N1307" s="20"/>
      <c r="O1307" s="81"/>
      <c r="P1307" s="55"/>
      <c r="Q1307" s="55"/>
      <c r="R1307" s="14"/>
      <c r="S1307" s="14"/>
    </row>
    <row r="1308" spans="2:19" ht="12.75" hidden="1" customHeight="1" x14ac:dyDescent="0.25">
      <c r="B1308" s="16">
        <v>43349.083333333336</v>
      </c>
      <c r="C1308" s="50" t="s">
        <v>1256</v>
      </c>
      <c r="D1308" s="34"/>
      <c r="E1308" s="37">
        <v>8000000</v>
      </c>
      <c r="F1308" s="37"/>
      <c r="G1308" s="37">
        <v>8000000</v>
      </c>
      <c r="H1308" s="64"/>
      <c r="I1308" s="37">
        <v>423960</v>
      </c>
      <c r="J1308" s="64">
        <v>68470.080000000002</v>
      </c>
      <c r="K1308" s="18">
        <f>+G1308-H1308-I1308-J1308</f>
        <v>7507569.9199999999</v>
      </c>
      <c r="L1308" s="19">
        <f t="shared" si="241"/>
        <v>32000000</v>
      </c>
      <c r="M1308" s="20"/>
      <c r="N1308" s="20"/>
      <c r="O1308" s="81"/>
      <c r="P1308" s="55"/>
      <c r="Q1308" s="55"/>
      <c r="R1308" s="14"/>
      <c r="S1308" s="14"/>
    </row>
    <row r="1309" spans="2:19" ht="12.75" hidden="1" customHeight="1" x14ac:dyDescent="0.25">
      <c r="B1309" s="16">
        <v>43389.083333333336</v>
      </c>
      <c r="C1309" s="50" t="s">
        <v>1257</v>
      </c>
      <c r="D1309" s="34"/>
      <c r="E1309" s="37">
        <v>8000000</v>
      </c>
      <c r="F1309" s="37"/>
      <c r="G1309" s="37">
        <v>8000000</v>
      </c>
      <c r="H1309" s="64"/>
      <c r="I1309" s="37">
        <v>619008</v>
      </c>
      <c r="J1309" s="64">
        <v>77280</v>
      </c>
      <c r="K1309" s="18">
        <f>+G1309-H1309-I1309-J1309</f>
        <v>7303712</v>
      </c>
      <c r="L1309" s="19">
        <f t="shared" si="241"/>
        <v>24000000</v>
      </c>
      <c r="M1309" s="20"/>
      <c r="N1309" s="20"/>
      <c r="O1309" s="81"/>
      <c r="P1309" s="55"/>
      <c r="Q1309" s="55"/>
      <c r="R1309" s="14"/>
      <c r="S1309" s="14"/>
    </row>
    <row r="1310" spans="2:19" ht="12.75" hidden="1" customHeight="1" x14ac:dyDescent="0.25">
      <c r="B1310" s="16">
        <v>43406.083333333336</v>
      </c>
      <c r="C1310" s="50" t="s">
        <v>1258</v>
      </c>
      <c r="D1310" s="34"/>
      <c r="E1310" s="37">
        <v>8000000</v>
      </c>
      <c r="F1310" s="37"/>
      <c r="G1310" s="37">
        <v>8000000</v>
      </c>
      <c r="H1310" s="64"/>
      <c r="I1310" s="37">
        <v>423960</v>
      </c>
      <c r="J1310" s="64">
        <v>68470.080000000002</v>
      </c>
      <c r="K1310" s="18">
        <f>+G1310-H1310-I1310-J1310</f>
        <v>7507569.9199999999</v>
      </c>
      <c r="L1310" s="19">
        <f t="shared" si="241"/>
        <v>16000000</v>
      </c>
      <c r="M1310" s="20"/>
      <c r="N1310" s="20"/>
      <c r="O1310" s="81"/>
      <c r="P1310" s="55"/>
      <c r="Q1310" s="55"/>
      <c r="R1310" s="14"/>
      <c r="S1310" s="14"/>
    </row>
    <row r="1311" spans="2:19" ht="12.75" hidden="1" customHeight="1" x14ac:dyDescent="0.25">
      <c r="B1311" s="16">
        <v>43458.125</v>
      </c>
      <c r="C1311" s="50" t="s">
        <v>1259</v>
      </c>
      <c r="D1311" s="34"/>
      <c r="E1311" s="37">
        <v>8000000</v>
      </c>
      <c r="F1311" s="37"/>
      <c r="G1311" s="37">
        <v>8000000</v>
      </c>
      <c r="H1311" s="64"/>
      <c r="I1311" s="37">
        <v>423960</v>
      </c>
      <c r="J1311" s="64">
        <v>68470.080000000002</v>
      </c>
      <c r="K1311" s="18">
        <f>+G1311-H1311-I1311-J1311</f>
        <v>7507569.9199999999</v>
      </c>
      <c r="L1311" s="19">
        <f t="shared" si="241"/>
        <v>8000000</v>
      </c>
      <c r="M1311" s="20"/>
      <c r="N1311" s="20"/>
      <c r="O1311" s="81"/>
      <c r="P1311" s="55"/>
      <c r="Q1311" s="55"/>
      <c r="R1311" s="14"/>
      <c r="S1311" s="14"/>
    </row>
    <row r="1312" spans="2:19" ht="12.75" hidden="1" customHeight="1" x14ac:dyDescent="0.25">
      <c r="B1312" s="16">
        <v>43467.125</v>
      </c>
      <c r="C1312" s="50" t="s">
        <v>1260</v>
      </c>
      <c r="D1312" s="34"/>
      <c r="E1312" s="37">
        <v>8000000</v>
      </c>
      <c r="F1312" s="37"/>
      <c r="G1312" s="37">
        <v>8000000</v>
      </c>
      <c r="H1312" s="64"/>
      <c r="I1312" s="37">
        <v>423960</v>
      </c>
      <c r="J1312" s="64">
        <v>68470.080000000002</v>
      </c>
      <c r="K1312" s="18">
        <f>+G1312-H1312-I1312-J1312</f>
        <v>7507569.9199999999</v>
      </c>
      <c r="L1312" s="19">
        <f t="shared" si="241"/>
        <v>0</v>
      </c>
      <c r="M1312" s="20"/>
      <c r="N1312" s="20"/>
      <c r="O1312" s="81"/>
      <c r="P1312" s="55"/>
      <c r="Q1312" s="55"/>
      <c r="R1312" s="14"/>
      <c r="S1312" s="14"/>
    </row>
    <row r="1313" spans="2:19" ht="12.75" hidden="1" customHeight="1" x14ac:dyDescent="0.25">
      <c r="B1313" s="9" t="s">
        <v>1261</v>
      </c>
      <c r="C1313" s="10"/>
      <c r="D1313" s="11">
        <v>1500000000</v>
      </c>
      <c r="E1313" s="11">
        <f>+D1313</f>
        <v>1500000000</v>
      </c>
      <c r="F1313" s="11"/>
      <c r="G1313" s="11"/>
      <c r="H1313" s="11"/>
      <c r="I1313" s="11"/>
      <c r="J1313" s="11"/>
      <c r="K1313" s="11"/>
      <c r="L1313" s="11">
        <f>+D1313</f>
        <v>1500000000</v>
      </c>
      <c r="M1313" s="12"/>
      <c r="N1313" s="12"/>
      <c r="P1313" s="55"/>
      <c r="Q1313" s="55"/>
      <c r="R1313" s="14"/>
      <c r="S1313" s="14"/>
    </row>
    <row r="1314" spans="2:19" ht="12.95" hidden="1" customHeight="1" x14ac:dyDescent="0.25">
      <c r="B1314" s="16">
        <v>43185.083333333336</v>
      </c>
      <c r="C1314" s="50" t="s">
        <v>1262</v>
      </c>
      <c r="D1314" s="34"/>
      <c r="E1314" s="37">
        <v>600000000</v>
      </c>
      <c r="F1314" s="37"/>
      <c r="G1314" s="37">
        <f>+E1314</f>
        <v>600000000</v>
      </c>
      <c r="H1314" s="64"/>
      <c r="I1314" s="64">
        <v>0</v>
      </c>
      <c r="J1314" s="64">
        <v>0</v>
      </c>
      <c r="K1314" s="18">
        <f>+G1314-H1314-I1314-J1314</f>
        <v>600000000</v>
      </c>
      <c r="L1314" s="19">
        <f>+L1313-G1314</f>
        <v>900000000</v>
      </c>
      <c r="M1314" s="20"/>
      <c r="N1314" s="20"/>
      <c r="O1314" s="81"/>
      <c r="P1314" s="55"/>
      <c r="Q1314" s="55"/>
      <c r="R1314" s="14"/>
      <c r="S1314" s="14"/>
    </row>
    <row r="1315" spans="2:19" ht="12.75" hidden="1" customHeight="1" x14ac:dyDescent="0.25">
      <c r="B1315" s="16">
        <v>43294.083333333336</v>
      </c>
      <c r="C1315" s="50" t="s">
        <v>1263</v>
      </c>
      <c r="D1315" s="34"/>
      <c r="E1315" s="37">
        <v>375000000</v>
      </c>
      <c r="F1315" s="37"/>
      <c r="G1315" s="37">
        <f>+E1315</f>
        <v>375000000</v>
      </c>
      <c r="H1315" s="64"/>
      <c r="I1315" s="64">
        <v>0</v>
      </c>
      <c r="J1315" s="64">
        <v>0</v>
      </c>
      <c r="K1315" s="18">
        <f>+G1315-H1315-I1315-J1315</f>
        <v>375000000</v>
      </c>
      <c r="L1315" s="19">
        <f>+L1314-G1315</f>
        <v>525000000</v>
      </c>
      <c r="M1315" s="20"/>
      <c r="N1315" s="20"/>
      <c r="O1315" s="81">
        <f>+L1317-'[1]ANEXO 7 - PPTO VIG 2018'!T11</f>
        <v>0</v>
      </c>
      <c r="P1315" s="55"/>
      <c r="Q1315" s="55"/>
      <c r="R1315" s="14"/>
      <c r="S1315" s="14"/>
    </row>
    <row r="1316" spans="2:19" ht="12.95" hidden="1" customHeight="1" x14ac:dyDescent="0.25">
      <c r="B1316" s="16">
        <v>43398.083333333336</v>
      </c>
      <c r="C1316" s="50" t="s">
        <v>1264</v>
      </c>
      <c r="D1316" s="34"/>
      <c r="E1316" s="37">
        <v>375000000</v>
      </c>
      <c r="F1316" s="37"/>
      <c r="G1316" s="37">
        <f>+E1316</f>
        <v>375000000</v>
      </c>
      <c r="H1316" s="64"/>
      <c r="I1316" s="64">
        <v>0</v>
      </c>
      <c r="J1316" s="64">
        <v>0</v>
      </c>
      <c r="K1316" s="18">
        <f>+G1316-H1316-I1316-J1316</f>
        <v>375000000</v>
      </c>
      <c r="L1316" s="19">
        <f>+L1315-G1316</f>
        <v>150000000</v>
      </c>
      <c r="M1316" s="20"/>
      <c r="N1316" s="20"/>
      <c r="O1316" s="81"/>
      <c r="P1316" s="55"/>
      <c r="Q1316" s="55"/>
      <c r="R1316" s="14"/>
      <c r="S1316" s="14"/>
    </row>
    <row r="1317" spans="2:19" ht="12.95" hidden="1" customHeight="1" x14ac:dyDescent="0.25">
      <c r="B1317" s="16">
        <v>43482.125</v>
      </c>
      <c r="C1317" s="50" t="s">
        <v>1265</v>
      </c>
      <c r="D1317" s="34"/>
      <c r="E1317" s="37">
        <v>150000000</v>
      </c>
      <c r="F1317" s="37"/>
      <c r="G1317" s="37">
        <f>+E1317</f>
        <v>150000000</v>
      </c>
      <c r="H1317" s="64"/>
      <c r="I1317" s="64">
        <v>0</v>
      </c>
      <c r="J1317" s="64">
        <v>0</v>
      </c>
      <c r="K1317" s="18">
        <f>+G1317-H1317-I1317-J1317</f>
        <v>150000000</v>
      </c>
      <c r="L1317" s="19">
        <f>+L1316-G1317</f>
        <v>0</v>
      </c>
      <c r="M1317" s="20"/>
      <c r="N1317" s="20"/>
      <c r="O1317" s="81"/>
      <c r="P1317" s="55"/>
      <c r="Q1317" s="55"/>
      <c r="R1317" s="14"/>
      <c r="S1317" s="14"/>
    </row>
    <row r="1318" spans="2:19" ht="12.95" hidden="1" customHeight="1" x14ac:dyDescent="0.25">
      <c r="B1318" s="9" t="s">
        <v>1266</v>
      </c>
      <c r="C1318" s="10"/>
      <c r="D1318" s="11">
        <v>114400000</v>
      </c>
      <c r="E1318" s="11">
        <f>+D1318</f>
        <v>114400000</v>
      </c>
      <c r="F1318" s="11"/>
      <c r="G1318" s="11"/>
      <c r="H1318" s="11"/>
      <c r="I1318" s="11"/>
      <c r="J1318" s="11"/>
      <c r="K1318" s="11"/>
      <c r="L1318" s="11">
        <f>+D1318</f>
        <v>114400000</v>
      </c>
      <c r="M1318" s="12"/>
      <c r="N1318" s="12"/>
      <c r="P1318" s="55"/>
      <c r="Q1318" s="55"/>
      <c r="R1318" s="14"/>
      <c r="S1318" s="14"/>
    </row>
    <row r="1319" spans="2:19" ht="12.95" hidden="1" customHeight="1" x14ac:dyDescent="0.25">
      <c r="B1319" s="16">
        <v>43185.083333333336</v>
      </c>
      <c r="C1319" s="50" t="s">
        <v>1267</v>
      </c>
      <c r="D1319" s="34"/>
      <c r="E1319" s="37">
        <v>10400000</v>
      </c>
      <c r="F1319" s="37"/>
      <c r="G1319" s="37">
        <f>+E1319</f>
        <v>10400000</v>
      </c>
      <c r="H1319" s="64"/>
      <c r="I1319" s="64">
        <v>869454</v>
      </c>
      <c r="J1319" s="64">
        <v>89011.1</v>
      </c>
      <c r="K1319" s="18">
        <f t="shared" ref="K1319:K1324" si="242">+G1319-H1319-I1319-J1319</f>
        <v>9441534.9000000004</v>
      </c>
      <c r="L1319" s="19">
        <f t="shared" ref="L1319:L1329" si="243">+L1318-G1319</f>
        <v>104000000</v>
      </c>
      <c r="M1319" s="20"/>
      <c r="N1319" s="20"/>
      <c r="O1319" s="81"/>
      <c r="P1319" s="55"/>
      <c r="Q1319" s="55"/>
      <c r="R1319" s="14"/>
      <c r="S1319" s="14"/>
    </row>
    <row r="1320" spans="2:19" ht="12.95" hidden="1" customHeight="1" x14ac:dyDescent="0.25">
      <c r="B1320" s="16">
        <v>43209.083333333336</v>
      </c>
      <c r="C1320" s="50" t="s">
        <v>1268</v>
      </c>
      <c r="D1320" s="34"/>
      <c r="E1320" s="37">
        <v>10400000</v>
      </c>
      <c r="F1320" s="37"/>
      <c r="G1320" s="37">
        <v>10400000</v>
      </c>
      <c r="H1320" s="64"/>
      <c r="I1320" s="64">
        <v>869454</v>
      </c>
      <c r="J1320" s="64">
        <v>89011.1</v>
      </c>
      <c r="K1320" s="18">
        <f t="shared" si="242"/>
        <v>9441534.9000000004</v>
      </c>
      <c r="L1320" s="19">
        <f t="shared" si="243"/>
        <v>93600000</v>
      </c>
      <c r="M1320" s="20"/>
      <c r="N1320" s="20"/>
      <c r="O1320" s="81"/>
      <c r="P1320" s="55"/>
      <c r="Q1320" s="55"/>
      <c r="R1320" s="14"/>
      <c r="S1320" s="14"/>
    </row>
    <row r="1321" spans="2:19" ht="12.95" hidden="1" customHeight="1" x14ac:dyDescent="0.25">
      <c r="B1321" s="16">
        <v>43238.083333333336</v>
      </c>
      <c r="C1321" s="50" t="s">
        <v>1269</v>
      </c>
      <c r="D1321" s="34"/>
      <c r="E1321" s="37">
        <v>10400000</v>
      </c>
      <c r="F1321" s="37"/>
      <c r="G1321" s="37">
        <v>10400000</v>
      </c>
      <c r="H1321" s="64"/>
      <c r="I1321" s="64">
        <v>869454</v>
      </c>
      <c r="J1321" s="64">
        <v>89011.1</v>
      </c>
      <c r="K1321" s="18">
        <f t="shared" si="242"/>
        <v>9441534.9000000004</v>
      </c>
      <c r="L1321" s="19">
        <f t="shared" si="243"/>
        <v>83200000</v>
      </c>
      <c r="M1321" s="20"/>
      <c r="N1321" s="20"/>
      <c r="O1321" s="81"/>
      <c r="P1321" s="55"/>
      <c r="Q1321" s="55"/>
      <c r="R1321" s="14"/>
      <c r="S1321" s="14"/>
    </row>
    <row r="1322" spans="2:19" ht="12.95" hidden="1" customHeight="1" x14ac:dyDescent="0.25">
      <c r="B1322" s="16">
        <v>43269.083333333336</v>
      </c>
      <c r="C1322" s="50" t="s">
        <v>1270</v>
      </c>
      <c r="D1322" s="34"/>
      <c r="E1322" s="37">
        <v>10400000</v>
      </c>
      <c r="F1322" s="37"/>
      <c r="G1322" s="37">
        <v>10400000</v>
      </c>
      <c r="H1322" s="64"/>
      <c r="I1322" s="64">
        <v>869454</v>
      </c>
      <c r="J1322" s="64">
        <v>89011.1</v>
      </c>
      <c r="K1322" s="18">
        <f t="shared" si="242"/>
        <v>9441534.9000000004</v>
      </c>
      <c r="L1322" s="19">
        <f t="shared" si="243"/>
        <v>72800000</v>
      </c>
      <c r="M1322" s="20"/>
      <c r="N1322" s="20"/>
      <c r="O1322" s="81"/>
      <c r="P1322" s="55"/>
      <c r="Q1322" s="55"/>
      <c r="R1322" s="14"/>
      <c r="S1322" s="14"/>
    </row>
    <row r="1323" spans="2:19" ht="12.95" hidden="1" customHeight="1" x14ac:dyDescent="0.25">
      <c r="B1323" s="16">
        <v>43300.083333333336</v>
      </c>
      <c r="C1323" s="50" t="s">
        <v>1271</v>
      </c>
      <c r="D1323" s="34"/>
      <c r="E1323" s="37">
        <v>10400000</v>
      </c>
      <c r="F1323" s="37"/>
      <c r="G1323" s="37">
        <v>10400000</v>
      </c>
      <c r="H1323" s="64"/>
      <c r="I1323" s="64">
        <v>869454</v>
      </c>
      <c r="J1323" s="64">
        <v>89011.1</v>
      </c>
      <c r="K1323" s="18">
        <f t="shared" si="242"/>
        <v>9441534.9000000004</v>
      </c>
      <c r="L1323" s="19">
        <f t="shared" si="243"/>
        <v>62400000</v>
      </c>
      <c r="M1323" s="20"/>
      <c r="N1323" s="20"/>
      <c r="O1323" s="81">
        <f>+L1329-'[1]ANEXO 7 - PPTO VIG 2018'!T76</f>
        <v>0</v>
      </c>
      <c r="P1323" s="55"/>
      <c r="Q1323" s="55"/>
      <c r="R1323" s="14"/>
      <c r="S1323" s="14"/>
    </row>
    <row r="1324" spans="2:19" ht="12.95" hidden="1" customHeight="1" x14ac:dyDescent="0.25">
      <c r="B1324" s="16">
        <v>43320.083333333336</v>
      </c>
      <c r="C1324" s="50" t="s">
        <v>1272</v>
      </c>
      <c r="D1324" s="34"/>
      <c r="E1324" s="37">
        <v>10400000</v>
      </c>
      <c r="F1324" s="37"/>
      <c r="G1324" s="37">
        <v>10400000</v>
      </c>
      <c r="H1324" s="64"/>
      <c r="I1324" s="64">
        <v>869454</v>
      </c>
      <c r="J1324" s="64">
        <v>89011.1</v>
      </c>
      <c r="K1324" s="18">
        <f t="shared" si="242"/>
        <v>9441534.9000000004</v>
      </c>
      <c r="L1324" s="19">
        <f t="shared" si="243"/>
        <v>52000000</v>
      </c>
      <c r="M1324" s="20"/>
      <c r="N1324" s="20"/>
      <c r="O1324" s="81"/>
      <c r="P1324" s="55"/>
      <c r="Q1324" s="55"/>
      <c r="R1324" s="14"/>
      <c r="S1324" s="14"/>
    </row>
    <row r="1325" spans="2:19" ht="12.95" hidden="1" customHeight="1" x14ac:dyDescent="0.25">
      <c r="B1325" s="16">
        <v>43353.083333333336</v>
      </c>
      <c r="C1325" s="50" t="s">
        <v>1273</v>
      </c>
      <c r="D1325" s="34"/>
      <c r="E1325" s="37">
        <v>10400000</v>
      </c>
      <c r="F1325" s="37"/>
      <c r="G1325" s="37">
        <v>10400000</v>
      </c>
      <c r="H1325" s="64"/>
      <c r="I1325" s="37">
        <v>869454</v>
      </c>
      <c r="J1325" s="64">
        <v>89011.1</v>
      </c>
      <c r="K1325" s="18">
        <f>+G1325-H1325-I1325-J1325</f>
        <v>9441534.9000000004</v>
      </c>
      <c r="L1325" s="19">
        <f t="shared" si="243"/>
        <v>41600000</v>
      </c>
      <c r="M1325" s="20"/>
      <c r="N1325" s="20"/>
      <c r="O1325" s="81"/>
      <c r="P1325" s="55"/>
      <c r="Q1325" s="55"/>
      <c r="R1325" s="14"/>
      <c r="S1325" s="14"/>
    </row>
    <row r="1326" spans="2:19" ht="12.95" hidden="1" customHeight="1" x14ac:dyDescent="0.25">
      <c r="B1326" s="16">
        <v>43395.083333333336</v>
      </c>
      <c r="C1326" s="50" t="s">
        <v>1274</v>
      </c>
      <c r="D1326" s="34"/>
      <c r="E1326" s="37">
        <v>10400000</v>
      </c>
      <c r="F1326" s="37"/>
      <c r="G1326" s="37">
        <v>10400000</v>
      </c>
      <c r="H1326" s="64"/>
      <c r="I1326" s="37">
        <v>869454</v>
      </c>
      <c r="J1326" s="64">
        <v>89011.1</v>
      </c>
      <c r="K1326" s="18">
        <f>+G1326-H1326-I1326-J1326</f>
        <v>9441534.9000000004</v>
      </c>
      <c r="L1326" s="19">
        <f t="shared" si="243"/>
        <v>31200000</v>
      </c>
      <c r="M1326" s="20"/>
      <c r="N1326" s="20"/>
      <c r="O1326" s="81"/>
      <c r="P1326" s="55"/>
      <c r="Q1326" s="55"/>
      <c r="R1326" s="14"/>
      <c r="S1326" s="14"/>
    </row>
    <row r="1327" spans="2:19" ht="12.95" hidden="1" customHeight="1" x14ac:dyDescent="0.25">
      <c r="B1327" s="16">
        <v>43417.125</v>
      </c>
      <c r="C1327" s="50" t="s">
        <v>1275</v>
      </c>
      <c r="D1327" s="34"/>
      <c r="E1327" s="37">
        <v>10400000</v>
      </c>
      <c r="F1327" s="37"/>
      <c r="G1327" s="37">
        <v>10400000</v>
      </c>
      <c r="H1327" s="64"/>
      <c r="I1327" s="37">
        <v>869454</v>
      </c>
      <c r="J1327" s="64">
        <v>89011.1</v>
      </c>
      <c r="K1327" s="18">
        <f>+G1327-H1327-I1327-J1327</f>
        <v>9441534.9000000004</v>
      </c>
      <c r="L1327" s="19">
        <f t="shared" si="243"/>
        <v>20800000</v>
      </c>
      <c r="M1327" s="20"/>
      <c r="N1327" s="20"/>
      <c r="O1327" s="81"/>
      <c r="P1327" s="55"/>
      <c r="Q1327" s="55"/>
      <c r="R1327" s="14"/>
      <c r="S1327" s="14"/>
    </row>
    <row r="1328" spans="2:19" ht="12.95" hidden="1" customHeight="1" x14ac:dyDescent="0.25">
      <c r="B1328" s="16">
        <v>43452.125</v>
      </c>
      <c r="C1328" s="50" t="s">
        <v>1276</v>
      </c>
      <c r="D1328" s="34"/>
      <c r="E1328" s="37">
        <v>10400000</v>
      </c>
      <c r="F1328" s="37"/>
      <c r="G1328" s="37">
        <v>10400000</v>
      </c>
      <c r="H1328" s="64"/>
      <c r="I1328" s="37">
        <v>869454</v>
      </c>
      <c r="J1328" s="64">
        <v>89011.1</v>
      </c>
      <c r="K1328" s="18">
        <f>+G1328-H1328-I1328-J1328</f>
        <v>9441534.9000000004</v>
      </c>
      <c r="L1328" s="19">
        <f t="shared" si="243"/>
        <v>10400000</v>
      </c>
      <c r="M1328" s="20"/>
      <c r="N1328" s="20"/>
      <c r="O1328" s="81"/>
      <c r="P1328" s="55"/>
      <c r="Q1328" s="55"/>
      <c r="R1328" s="14"/>
      <c r="S1328" s="14"/>
    </row>
    <row r="1329" spans="2:19" ht="12.95" hidden="1" customHeight="1" x14ac:dyDescent="0.25">
      <c r="B1329" s="16">
        <v>43467.125</v>
      </c>
      <c r="C1329" s="50" t="s">
        <v>1277</v>
      </c>
      <c r="D1329" s="34"/>
      <c r="E1329" s="37">
        <v>10400000</v>
      </c>
      <c r="F1329" s="37"/>
      <c r="G1329" s="37">
        <v>10400000</v>
      </c>
      <c r="H1329" s="64"/>
      <c r="I1329" s="37">
        <v>869454</v>
      </c>
      <c r="J1329" s="64">
        <v>89011.1</v>
      </c>
      <c r="K1329" s="18">
        <f>+G1329-H1329-I1329-J1329</f>
        <v>9441534.9000000004</v>
      </c>
      <c r="L1329" s="19">
        <f t="shared" si="243"/>
        <v>0</v>
      </c>
      <c r="M1329" s="20"/>
      <c r="N1329" s="20"/>
      <c r="O1329" s="81"/>
      <c r="P1329" s="55"/>
      <c r="Q1329" s="55"/>
      <c r="R1329" s="14"/>
      <c r="S1329" s="14"/>
    </row>
    <row r="1330" spans="2:19" ht="12.95" hidden="1" customHeight="1" x14ac:dyDescent="0.25">
      <c r="B1330" s="9" t="s">
        <v>1278</v>
      </c>
      <c r="C1330" s="10"/>
      <c r="D1330" s="11">
        <f>907960000+453980000</f>
        <v>1361940000</v>
      </c>
      <c r="E1330" s="11">
        <f>+D1330</f>
        <v>1361940000</v>
      </c>
      <c r="F1330" s="11"/>
      <c r="G1330" s="11"/>
      <c r="H1330" s="11"/>
      <c r="I1330" s="11"/>
      <c r="J1330" s="11"/>
      <c r="K1330" s="11"/>
      <c r="L1330" s="11">
        <f>+D1330</f>
        <v>1361940000</v>
      </c>
      <c r="M1330" s="12"/>
      <c r="N1330" s="12"/>
      <c r="P1330" s="55"/>
      <c r="Q1330" s="55"/>
      <c r="R1330" s="14"/>
      <c r="S1330" s="14"/>
    </row>
    <row r="1331" spans="2:19" ht="12.95" hidden="1" customHeight="1" x14ac:dyDescent="0.25">
      <c r="B1331" s="16">
        <v>43187.083333333336</v>
      </c>
      <c r="C1331" s="50" t="s">
        <v>1279</v>
      </c>
      <c r="D1331" s="34"/>
      <c r="E1331" s="37">
        <v>37831667</v>
      </c>
      <c r="F1331" s="37"/>
      <c r="G1331" s="37">
        <f t="shared" ref="G1331:G1354" si="244">+E1331</f>
        <v>37831667</v>
      </c>
      <c r="H1331" s="64">
        <v>906052.5</v>
      </c>
      <c r="I1331" s="64">
        <v>3497044.87</v>
      </c>
      <c r="J1331" s="64">
        <v>219360.09</v>
      </c>
      <c r="K1331" s="18">
        <f t="shared" ref="K1331:K1354" si="245">+G1331-H1331-I1331-J1331</f>
        <v>33209209.539999999</v>
      </c>
      <c r="L1331" s="19">
        <f t="shared" ref="L1331:L1354" si="246">+L1330-G1331</f>
        <v>1324108333</v>
      </c>
      <c r="M1331" s="20"/>
      <c r="N1331" s="20"/>
      <c r="O1331" s="81"/>
      <c r="P1331" s="55"/>
      <c r="Q1331" s="55"/>
      <c r="R1331" s="14"/>
      <c r="S1331" s="14"/>
    </row>
    <row r="1332" spans="2:19" ht="12.95" hidden="1" customHeight="1" x14ac:dyDescent="0.25">
      <c r="B1332" s="16">
        <v>43186.083333333336</v>
      </c>
      <c r="C1332" s="50" t="s">
        <v>1280</v>
      </c>
      <c r="D1332" s="34"/>
      <c r="E1332" s="37">
        <v>56747500</v>
      </c>
      <c r="F1332" s="37"/>
      <c r="G1332" s="37">
        <f t="shared" si="244"/>
        <v>56747500</v>
      </c>
      <c r="H1332" s="64">
        <v>1359078.75</v>
      </c>
      <c r="I1332" s="64">
        <v>5245567.25</v>
      </c>
      <c r="J1332" s="64">
        <v>329040.13</v>
      </c>
      <c r="K1332" s="18">
        <f t="shared" si="245"/>
        <v>49813813.869999997</v>
      </c>
      <c r="L1332" s="19">
        <f t="shared" si="246"/>
        <v>1267360833</v>
      </c>
      <c r="M1332" s="20"/>
      <c r="N1332" s="20"/>
      <c r="O1332" s="81"/>
      <c r="P1332" s="55"/>
      <c r="Q1332" s="55"/>
      <c r="R1332" s="14"/>
      <c r="S1332" s="14"/>
    </row>
    <row r="1333" spans="2:19" ht="12.95" hidden="1" customHeight="1" x14ac:dyDescent="0.25">
      <c r="B1333" s="16">
        <v>43269.083333333336</v>
      </c>
      <c r="C1333" s="50" t="s">
        <v>1281</v>
      </c>
      <c r="D1333" s="34"/>
      <c r="E1333" s="37">
        <v>56747500</v>
      </c>
      <c r="F1333" s="37"/>
      <c r="G1333" s="37">
        <f t="shared" si="244"/>
        <v>56747500</v>
      </c>
      <c r="H1333" s="64">
        <v>1359078.75</v>
      </c>
      <c r="I1333" s="64">
        <v>5245567.25</v>
      </c>
      <c r="J1333" s="64">
        <v>329040.13</v>
      </c>
      <c r="K1333" s="18">
        <f t="shared" si="245"/>
        <v>49813813.869999997</v>
      </c>
      <c r="L1333" s="19">
        <f t="shared" si="246"/>
        <v>1210613333</v>
      </c>
      <c r="M1333" s="20"/>
      <c r="N1333" s="20"/>
      <c r="O1333" s="81"/>
      <c r="P1333" s="55"/>
      <c r="Q1333" s="55"/>
      <c r="R1333" s="14"/>
      <c r="S1333" s="14"/>
    </row>
    <row r="1334" spans="2:19" ht="12.95" hidden="1" customHeight="1" x14ac:dyDescent="0.25">
      <c r="B1334" s="16">
        <v>43269.083333333336</v>
      </c>
      <c r="C1334" s="50" t="s">
        <v>1282</v>
      </c>
      <c r="D1334" s="34"/>
      <c r="E1334" s="37">
        <v>56747500</v>
      </c>
      <c r="F1334" s="37"/>
      <c r="G1334" s="37">
        <f t="shared" si="244"/>
        <v>56747500</v>
      </c>
      <c r="H1334" s="64">
        <v>1359078.75</v>
      </c>
      <c r="I1334" s="64">
        <v>5245567.25</v>
      </c>
      <c r="J1334" s="64">
        <v>329040.13</v>
      </c>
      <c r="K1334" s="18">
        <f t="shared" si="245"/>
        <v>49813813.869999997</v>
      </c>
      <c r="L1334" s="19">
        <f t="shared" si="246"/>
        <v>1153865833</v>
      </c>
      <c r="M1334" s="20"/>
      <c r="N1334" s="20"/>
      <c r="O1334" s="81"/>
      <c r="P1334" s="55"/>
      <c r="Q1334" s="55"/>
      <c r="R1334" s="14"/>
      <c r="S1334" s="14"/>
    </row>
    <row r="1335" spans="2:19" ht="12.95" hidden="1" customHeight="1" x14ac:dyDescent="0.25">
      <c r="B1335" s="16">
        <v>43304.083333333336</v>
      </c>
      <c r="C1335" s="50" t="s">
        <v>1283</v>
      </c>
      <c r="D1335" s="34"/>
      <c r="E1335" s="37">
        <v>56747500</v>
      </c>
      <c r="F1335" s="37"/>
      <c r="G1335" s="37">
        <f t="shared" si="244"/>
        <v>56747500</v>
      </c>
      <c r="H1335" s="64">
        <v>1359078.75</v>
      </c>
      <c r="I1335" s="64">
        <v>5245567.25</v>
      </c>
      <c r="J1335" s="64">
        <v>329040.13</v>
      </c>
      <c r="K1335" s="18">
        <f t="shared" si="245"/>
        <v>49813813.869999997</v>
      </c>
      <c r="L1335" s="19">
        <f t="shared" si="246"/>
        <v>1097118333</v>
      </c>
      <c r="M1335" s="20"/>
      <c r="N1335" s="20"/>
      <c r="O1335" s="81"/>
      <c r="P1335" s="55"/>
      <c r="Q1335" s="55"/>
      <c r="R1335" s="14"/>
      <c r="S1335" s="14"/>
    </row>
    <row r="1336" spans="2:19" ht="12.95" hidden="1" customHeight="1" x14ac:dyDescent="0.25">
      <c r="B1336" s="16">
        <v>43304.083333333336</v>
      </c>
      <c r="C1336" s="50" t="s">
        <v>1284</v>
      </c>
      <c r="D1336" s="34"/>
      <c r="E1336" s="37">
        <v>56747500</v>
      </c>
      <c r="F1336" s="37"/>
      <c r="G1336" s="37">
        <f t="shared" si="244"/>
        <v>56747500</v>
      </c>
      <c r="H1336" s="64">
        <v>1359078.75</v>
      </c>
      <c r="I1336" s="64">
        <v>5245567.25</v>
      </c>
      <c r="J1336" s="64">
        <v>329040.13</v>
      </c>
      <c r="K1336" s="18">
        <f t="shared" si="245"/>
        <v>49813813.869999997</v>
      </c>
      <c r="L1336" s="19">
        <f t="shared" si="246"/>
        <v>1040370833</v>
      </c>
      <c r="M1336" s="20"/>
      <c r="N1336" s="20"/>
      <c r="O1336" s="81"/>
      <c r="P1336" s="55"/>
      <c r="Q1336" s="55"/>
      <c r="R1336" s="14"/>
      <c r="S1336" s="14"/>
    </row>
    <row r="1337" spans="2:19" ht="12.95" hidden="1" customHeight="1" x14ac:dyDescent="0.25">
      <c r="B1337" s="16">
        <v>43304.083333333336</v>
      </c>
      <c r="C1337" s="50" t="s">
        <v>1285</v>
      </c>
      <c r="D1337" s="34"/>
      <c r="E1337" s="37">
        <v>56747500</v>
      </c>
      <c r="F1337" s="37"/>
      <c r="G1337" s="37">
        <f t="shared" si="244"/>
        <v>56747500</v>
      </c>
      <c r="H1337" s="64">
        <v>1359078.75</v>
      </c>
      <c r="I1337" s="64">
        <v>5245567.25</v>
      </c>
      <c r="J1337" s="64">
        <v>329040.13</v>
      </c>
      <c r="K1337" s="18">
        <f t="shared" si="245"/>
        <v>49813813.869999997</v>
      </c>
      <c r="L1337" s="19">
        <f t="shared" si="246"/>
        <v>983623333</v>
      </c>
      <c r="M1337" s="20"/>
      <c r="N1337" s="20"/>
      <c r="P1337" s="55"/>
      <c r="Q1337" s="55"/>
      <c r="R1337" s="14"/>
      <c r="S1337" s="14"/>
    </row>
    <row r="1338" spans="2:19" ht="12.95" hidden="1" customHeight="1" x14ac:dyDescent="0.25">
      <c r="B1338" s="16">
        <v>43339.083333333336</v>
      </c>
      <c r="C1338" s="50" t="s">
        <v>1286</v>
      </c>
      <c r="D1338" s="34"/>
      <c r="E1338" s="37">
        <v>56747500</v>
      </c>
      <c r="F1338" s="37"/>
      <c r="G1338" s="37">
        <f t="shared" si="244"/>
        <v>56747500</v>
      </c>
      <c r="H1338" s="64">
        <v>1359078.75</v>
      </c>
      <c r="I1338" s="64">
        <v>5245567.25</v>
      </c>
      <c r="J1338" s="64">
        <v>329040.13</v>
      </c>
      <c r="K1338" s="18">
        <f t="shared" si="245"/>
        <v>49813813.869999997</v>
      </c>
      <c r="L1338" s="19">
        <f t="shared" si="246"/>
        <v>926875833</v>
      </c>
      <c r="M1338" s="20"/>
      <c r="N1338" s="20"/>
      <c r="O1338" s="81"/>
      <c r="P1338" s="55"/>
      <c r="Q1338" s="55"/>
      <c r="R1338" s="14"/>
      <c r="S1338" s="14"/>
    </row>
    <row r="1339" spans="2:19" ht="12.95" hidden="1" customHeight="1" x14ac:dyDescent="0.25">
      <c r="B1339" s="16">
        <v>43339.083333333336</v>
      </c>
      <c r="C1339" s="50" t="s">
        <v>1287</v>
      </c>
      <c r="D1339" s="34"/>
      <c r="E1339" s="37">
        <v>56747500</v>
      </c>
      <c r="F1339" s="37"/>
      <c r="G1339" s="37">
        <f t="shared" si="244"/>
        <v>56747500</v>
      </c>
      <c r="H1339" s="64">
        <v>1359078.75</v>
      </c>
      <c r="I1339" s="64">
        <v>5245567.25</v>
      </c>
      <c r="J1339" s="64">
        <v>329040.13</v>
      </c>
      <c r="K1339" s="18">
        <f t="shared" si="245"/>
        <v>49813813.869999997</v>
      </c>
      <c r="L1339" s="19">
        <f t="shared" si="246"/>
        <v>870128333</v>
      </c>
      <c r="M1339" s="20"/>
      <c r="N1339" s="20"/>
      <c r="O1339" s="81"/>
      <c r="P1339" s="55"/>
      <c r="Q1339" s="55"/>
      <c r="R1339" s="14"/>
      <c r="S1339" s="14"/>
    </row>
    <row r="1340" spans="2:19" ht="12.95" hidden="1" customHeight="1" x14ac:dyDescent="0.25">
      <c r="B1340" s="16">
        <v>43339.083333333336</v>
      </c>
      <c r="C1340" s="50" t="s">
        <v>1288</v>
      </c>
      <c r="D1340" s="34"/>
      <c r="E1340" s="37">
        <v>56747500</v>
      </c>
      <c r="F1340" s="37"/>
      <c r="G1340" s="37">
        <f t="shared" si="244"/>
        <v>56747500</v>
      </c>
      <c r="H1340" s="64">
        <v>1359078.75</v>
      </c>
      <c r="I1340" s="64">
        <v>5245567.25</v>
      </c>
      <c r="J1340" s="64">
        <v>329040.13</v>
      </c>
      <c r="K1340" s="18">
        <f t="shared" si="245"/>
        <v>49813813.869999997</v>
      </c>
      <c r="L1340" s="19">
        <f t="shared" si="246"/>
        <v>813380833</v>
      </c>
      <c r="M1340" s="20"/>
      <c r="N1340" s="20"/>
      <c r="O1340" s="81">
        <f>+L1356-'[1]ANEXO 7 - PPTO VIG 2018'!S86-'[1]ANEXO 7 - PPTO VIG 2017'!S53-'[1]ANEXO 7 - PPTO VIG 2019'!S89</f>
        <v>0</v>
      </c>
      <c r="P1340" s="55"/>
      <c r="Q1340" s="55"/>
      <c r="R1340" s="14"/>
      <c r="S1340" s="14"/>
    </row>
    <row r="1341" spans="2:19" ht="12" hidden="1" customHeight="1" x14ac:dyDescent="0.25">
      <c r="B1341" s="16">
        <v>43389.083333333336</v>
      </c>
      <c r="C1341" s="50" t="s">
        <v>1289</v>
      </c>
      <c r="D1341" s="34"/>
      <c r="E1341" s="37">
        <v>56747500</v>
      </c>
      <c r="F1341" s="37"/>
      <c r="G1341" s="37">
        <f t="shared" si="244"/>
        <v>56747500</v>
      </c>
      <c r="H1341" s="64">
        <v>1359078.75</v>
      </c>
      <c r="I1341" s="64">
        <v>5245567.25</v>
      </c>
      <c r="J1341" s="64">
        <v>329040.13</v>
      </c>
      <c r="K1341" s="18">
        <f t="shared" si="245"/>
        <v>49813813.869999997</v>
      </c>
      <c r="L1341" s="19">
        <f t="shared" si="246"/>
        <v>756633333</v>
      </c>
      <c r="M1341" s="20"/>
      <c r="N1341" s="20"/>
      <c r="O1341" s="81"/>
      <c r="P1341" s="55"/>
      <c r="Q1341" s="55"/>
      <c r="R1341" s="14"/>
      <c r="S1341" s="14"/>
    </row>
    <row r="1342" spans="2:19" ht="12" hidden="1" customHeight="1" x14ac:dyDescent="0.25">
      <c r="B1342" s="16">
        <v>43431.125</v>
      </c>
      <c r="C1342" s="50" t="s">
        <v>1290</v>
      </c>
      <c r="D1342" s="34"/>
      <c r="E1342" s="37">
        <v>56747500</v>
      </c>
      <c r="F1342" s="37"/>
      <c r="G1342" s="37">
        <f t="shared" si="244"/>
        <v>56747500</v>
      </c>
      <c r="H1342" s="64">
        <v>1359078.75</v>
      </c>
      <c r="I1342" s="64">
        <v>5245567.25</v>
      </c>
      <c r="J1342" s="64">
        <v>329040.13</v>
      </c>
      <c r="K1342" s="18">
        <f t="shared" si="245"/>
        <v>49813813.869999997</v>
      </c>
      <c r="L1342" s="19">
        <f t="shared" si="246"/>
        <v>699885833</v>
      </c>
      <c r="M1342" s="20"/>
      <c r="N1342" s="20"/>
      <c r="O1342" s="81"/>
      <c r="P1342" s="55"/>
      <c r="Q1342" s="55"/>
      <c r="R1342" s="14"/>
      <c r="S1342" s="14"/>
    </row>
    <row r="1343" spans="2:19" ht="12" hidden="1" customHeight="1" x14ac:dyDescent="0.25">
      <c r="B1343" s="16">
        <v>43468.125</v>
      </c>
      <c r="C1343" s="50" t="s">
        <v>1291</v>
      </c>
      <c r="D1343" s="34"/>
      <c r="E1343" s="37">
        <v>56747500</v>
      </c>
      <c r="F1343" s="37"/>
      <c r="G1343" s="37">
        <f t="shared" si="244"/>
        <v>56747500</v>
      </c>
      <c r="H1343" s="64">
        <v>1359078.75</v>
      </c>
      <c r="I1343" s="64">
        <v>5245567.25</v>
      </c>
      <c r="J1343" s="64">
        <v>329040.13</v>
      </c>
      <c r="K1343" s="18">
        <f t="shared" si="245"/>
        <v>49813813.869999997</v>
      </c>
      <c r="L1343" s="19">
        <f t="shared" si="246"/>
        <v>643138333</v>
      </c>
      <c r="M1343" s="20"/>
      <c r="N1343" s="20"/>
      <c r="O1343" s="81"/>
      <c r="P1343" s="55"/>
      <c r="Q1343" s="55"/>
      <c r="R1343" s="14"/>
      <c r="S1343" s="14"/>
    </row>
    <row r="1344" spans="2:19" ht="12" hidden="1" customHeight="1" x14ac:dyDescent="0.25">
      <c r="B1344" s="16">
        <v>43468.125</v>
      </c>
      <c r="C1344" s="50" t="s">
        <v>1292</v>
      </c>
      <c r="D1344" s="34"/>
      <c r="E1344" s="37">
        <v>56747500</v>
      </c>
      <c r="F1344" s="37"/>
      <c r="G1344" s="37">
        <f t="shared" si="244"/>
        <v>56747500</v>
      </c>
      <c r="H1344" s="64">
        <v>1359078.75</v>
      </c>
      <c r="I1344" s="64">
        <v>5245567.25</v>
      </c>
      <c r="J1344" s="64">
        <v>329040.13</v>
      </c>
      <c r="K1344" s="18">
        <f t="shared" si="245"/>
        <v>49813813.869999997</v>
      </c>
      <c r="L1344" s="19">
        <f t="shared" si="246"/>
        <v>586390833</v>
      </c>
      <c r="M1344" s="20"/>
      <c r="N1344" s="20"/>
      <c r="O1344" s="81"/>
      <c r="P1344" s="55"/>
      <c r="Q1344" s="55"/>
      <c r="R1344" s="14"/>
      <c r="S1344" s="14"/>
    </row>
    <row r="1345" spans="2:19" ht="12" hidden="1" customHeight="1" x14ac:dyDescent="0.25">
      <c r="B1345" s="16">
        <v>43503.125</v>
      </c>
      <c r="C1345" s="50" t="s">
        <v>1293</v>
      </c>
      <c r="D1345" s="34"/>
      <c r="E1345" s="37">
        <v>56747500</v>
      </c>
      <c r="F1345" s="37"/>
      <c r="G1345" s="37">
        <f t="shared" si="244"/>
        <v>56747500</v>
      </c>
      <c r="H1345" s="64">
        <v>1359078.75</v>
      </c>
      <c r="I1345" s="64">
        <v>5245567.25</v>
      </c>
      <c r="J1345" s="64">
        <v>329040.13</v>
      </c>
      <c r="K1345" s="18">
        <f t="shared" si="245"/>
        <v>49813813.869999997</v>
      </c>
      <c r="L1345" s="19">
        <f t="shared" si="246"/>
        <v>529643333</v>
      </c>
      <c r="M1345" s="20"/>
      <c r="N1345" s="20"/>
      <c r="O1345" s="81"/>
      <c r="P1345" s="55"/>
      <c r="Q1345" s="55"/>
      <c r="R1345" s="14"/>
      <c r="S1345" s="14"/>
    </row>
    <row r="1346" spans="2:19" ht="12" hidden="1" customHeight="1" x14ac:dyDescent="0.25">
      <c r="B1346" s="16">
        <v>43595.083333333336</v>
      </c>
      <c r="C1346" s="50" t="s">
        <v>1294</v>
      </c>
      <c r="D1346" s="34"/>
      <c r="E1346" s="37">
        <v>56747500</v>
      </c>
      <c r="F1346" s="37"/>
      <c r="G1346" s="37">
        <f t="shared" si="244"/>
        <v>56747500</v>
      </c>
      <c r="H1346" s="64">
        <v>1359078.75</v>
      </c>
      <c r="I1346" s="64">
        <v>5245567.25</v>
      </c>
      <c r="J1346" s="64">
        <v>329040.13</v>
      </c>
      <c r="K1346" s="18">
        <f t="shared" si="245"/>
        <v>49813813.869999997</v>
      </c>
      <c r="L1346" s="19">
        <f t="shared" si="246"/>
        <v>472895833</v>
      </c>
      <c r="M1346" s="20"/>
      <c r="N1346" s="20"/>
      <c r="O1346" s="81"/>
      <c r="P1346" s="55"/>
      <c r="Q1346" s="55"/>
      <c r="R1346" s="14"/>
      <c r="S1346" s="14"/>
    </row>
    <row r="1347" spans="2:19" ht="12" hidden="1" customHeight="1" x14ac:dyDescent="0.25">
      <c r="B1347" s="16">
        <v>43609.083333333336</v>
      </c>
      <c r="C1347" s="50" t="s">
        <v>1295</v>
      </c>
      <c r="D1347" s="34"/>
      <c r="E1347" s="37">
        <v>56747500</v>
      </c>
      <c r="F1347" s="37"/>
      <c r="G1347" s="37">
        <f t="shared" si="244"/>
        <v>56747500</v>
      </c>
      <c r="H1347" s="64">
        <v>1359078.75</v>
      </c>
      <c r="I1347" s="64">
        <v>5245567.25</v>
      </c>
      <c r="J1347" s="64">
        <v>329040.13</v>
      </c>
      <c r="K1347" s="18">
        <f t="shared" si="245"/>
        <v>49813813.869999997</v>
      </c>
      <c r="L1347" s="19">
        <f t="shared" si="246"/>
        <v>416148333</v>
      </c>
      <c r="M1347" s="20"/>
      <c r="N1347" s="20"/>
      <c r="O1347" s="81"/>
      <c r="P1347" s="55"/>
      <c r="Q1347" s="55"/>
      <c r="R1347" s="14"/>
      <c r="S1347" s="14"/>
    </row>
    <row r="1348" spans="2:19" ht="12" hidden="1" customHeight="1" x14ac:dyDescent="0.25">
      <c r="B1348" s="16">
        <v>43609.083333333336</v>
      </c>
      <c r="C1348" s="50" t="s">
        <v>1296</v>
      </c>
      <c r="D1348" s="34"/>
      <c r="E1348" s="37">
        <v>56747500</v>
      </c>
      <c r="F1348" s="37"/>
      <c r="G1348" s="37">
        <f t="shared" si="244"/>
        <v>56747500</v>
      </c>
      <c r="H1348" s="64">
        <v>1359078.75</v>
      </c>
      <c r="I1348" s="64">
        <v>5245567.25</v>
      </c>
      <c r="J1348" s="64">
        <v>329040.13</v>
      </c>
      <c r="K1348" s="18">
        <f t="shared" si="245"/>
        <v>49813813.869999997</v>
      </c>
      <c r="L1348" s="19">
        <f t="shared" si="246"/>
        <v>359400833</v>
      </c>
      <c r="M1348" s="20"/>
      <c r="N1348" s="20"/>
      <c r="O1348" s="81"/>
      <c r="P1348" s="55"/>
      <c r="Q1348" s="55"/>
      <c r="R1348" s="14"/>
      <c r="S1348" s="14"/>
    </row>
    <row r="1349" spans="2:19" ht="12" hidden="1" customHeight="1" x14ac:dyDescent="0.25">
      <c r="B1349" s="16">
        <v>43671.083333333336</v>
      </c>
      <c r="C1349" s="50" t="s">
        <v>1297</v>
      </c>
      <c r="D1349" s="34"/>
      <c r="E1349" s="37">
        <v>56747500</v>
      </c>
      <c r="F1349" s="37"/>
      <c r="G1349" s="37">
        <f t="shared" si="244"/>
        <v>56747500</v>
      </c>
      <c r="H1349" s="64">
        <v>1359078.75</v>
      </c>
      <c r="I1349" s="64">
        <v>5245567.25</v>
      </c>
      <c r="J1349" s="64">
        <v>329040.13</v>
      </c>
      <c r="K1349" s="18">
        <f t="shared" si="245"/>
        <v>49813813.869999997</v>
      </c>
      <c r="L1349" s="19">
        <f t="shared" si="246"/>
        <v>302653333</v>
      </c>
      <c r="M1349" s="20"/>
      <c r="N1349" s="20"/>
      <c r="O1349" s="81"/>
      <c r="P1349" s="55"/>
      <c r="Q1349" s="55"/>
      <c r="R1349" s="14"/>
      <c r="S1349" s="14"/>
    </row>
    <row r="1350" spans="2:19" ht="12" hidden="1" customHeight="1" x14ac:dyDescent="0.25">
      <c r="B1350" s="16">
        <v>43672.083333333336</v>
      </c>
      <c r="C1350" s="50" t="s">
        <v>1298</v>
      </c>
      <c r="D1350" s="34"/>
      <c r="E1350" s="37">
        <v>56747500</v>
      </c>
      <c r="F1350" s="37"/>
      <c r="G1350" s="37">
        <f t="shared" si="244"/>
        <v>56747500</v>
      </c>
      <c r="H1350" s="64">
        <v>1359078.75</v>
      </c>
      <c r="I1350" s="64">
        <v>5245567.25</v>
      </c>
      <c r="J1350" s="64">
        <v>329040.13</v>
      </c>
      <c r="K1350" s="18">
        <f t="shared" si="245"/>
        <v>49813813.869999997</v>
      </c>
      <c r="L1350" s="19">
        <f t="shared" si="246"/>
        <v>245905833</v>
      </c>
      <c r="M1350" s="20"/>
      <c r="N1350" s="20"/>
      <c r="O1350" s="81"/>
      <c r="P1350" s="55"/>
      <c r="Q1350" s="55"/>
      <c r="R1350" s="14"/>
      <c r="S1350" s="14"/>
    </row>
    <row r="1351" spans="2:19" ht="12" hidden="1" customHeight="1" x14ac:dyDescent="0.25">
      <c r="B1351" s="16">
        <v>43706.083333333336</v>
      </c>
      <c r="C1351" s="50" t="s">
        <v>1299</v>
      </c>
      <c r="D1351" s="34"/>
      <c r="E1351" s="37">
        <v>56747500</v>
      </c>
      <c r="F1351" s="37"/>
      <c r="G1351" s="37">
        <f t="shared" si="244"/>
        <v>56747500</v>
      </c>
      <c r="H1351" s="64">
        <v>1359078.75</v>
      </c>
      <c r="I1351" s="64">
        <v>5245567.25</v>
      </c>
      <c r="J1351" s="64">
        <v>329040.13</v>
      </c>
      <c r="K1351" s="18">
        <f t="shared" si="245"/>
        <v>49813813.869999997</v>
      </c>
      <c r="L1351" s="19">
        <f t="shared" si="246"/>
        <v>189158333</v>
      </c>
      <c r="M1351" s="20"/>
      <c r="N1351" s="20"/>
      <c r="P1351" s="85"/>
      <c r="Q1351" s="85"/>
      <c r="R1351" s="14"/>
      <c r="S1351" s="14"/>
    </row>
    <row r="1352" spans="2:19" ht="12" hidden="1" customHeight="1" x14ac:dyDescent="0.25">
      <c r="B1352" s="16">
        <v>43707.083333333336</v>
      </c>
      <c r="C1352" s="50" t="s">
        <v>1300</v>
      </c>
      <c r="D1352" s="34"/>
      <c r="E1352" s="37">
        <v>56747500</v>
      </c>
      <c r="F1352" s="37"/>
      <c r="G1352" s="37">
        <f t="shared" si="244"/>
        <v>56747500</v>
      </c>
      <c r="H1352" s="64">
        <v>1359078.75</v>
      </c>
      <c r="I1352" s="64">
        <v>5245567.25</v>
      </c>
      <c r="J1352" s="64">
        <v>329040.13</v>
      </c>
      <c r="K1352" s="18">
        <f t="shared" si="245"/>
        <v>49813813.869999997</v>
      </c>
      <c r="L1352" s="19">
        <f t="shared" si="246"/>
        <v>132410833</v>
      </c>
      <c r="M1352" s="20"/>
      <c r="N1352" s="20"/>
      <c r="O1352" s="81"/>
      <c r="P1352" s="85"/>
      <c r="Q1352" s="85"/>
      <c r="R1352" s="14"/>
      <c r="S1352" s="14"/>
    </row>
    <row r="1353" spans="2:19" ht="12" hidden="1" customHeight="1" x14ac:dyDescent="0.25">
      <c r="B1353" s="16">
        <v>43811.125</v>
      </c>
      <c r="C1353" s="50" t="s">
        <v>1301</v>
      </c>
      <c r="D1353" s="34"/>
      <c r="E1353" s="37">
        <v>56747500</v>
      </c>
      <c r="F1353" s="37"/>
      <c r="G1353" s="37">
        <f t="shared" si="244"/>
        <v>56747500</v>
      </c>
      <c r="H1353" s="64">
        <v>1359078.75</v>
      </c>
      <c r="I1353" s="64">
        <v>5245567.25</v>
      </c>
      <c r="J1353" s="64">
        <v>329040.13</v>
      </c>
      <c r="K1353" s="18">
        <f t="shared" si="245"/>
        <v>49813813.869999997</v>
      </c>
      <c r="L1353" s="19">
        <f t="shared" si="246"/>
        <v>75663333</v>
      </c>
      <c r="M1353" s="20"/>
      <c r="N1353" s="20"/>
      <c r="O1353" s="81"/>
      <c r="P1353" s="85"/>
      <c r="Q1353" s="85"/>
      <c r="R1353" s="14"/>
      <c r="S1353" s="14"/>
    </row>
    <row r="1354" spans="2:19" ht="12" hidden="1" customHeight="1" x14ac:dyDescent="0.25">
      <c r="B1354" s="16">
        <v>43825.125</v>
      </c>
      <c r="C1354" s="50" t="s">
        <v>1302</v>
      </c>
      <c r="D1354" s="34"/>
      <c r="E1354" s="37">
        <v>56747500</v>
      </c>
      <c r="F1354" s="37"/>
      <c r="G1354" s="37">
        <f t="shared" si="244"/>
        <v>56747500</v>
      </c>
      <c r="H1354" s="64">
        <v>1359078.75</v>
      </c>
      <c r="I1354" s="64">
        <v>5245567.25</v>
      </c>
      <c r="J1354" s="64">
        <v>329040.13</v>
      </c>
      <c r="K1354" s="18">
        <f t="shared" si="245"/>
        <v>49813813.869999997</v>
      </c>
      <c r="L1354" s="19">
        <f t="shared" si="246"/>
        <v>18915833</v>
      </c>
      <c r="M1354" s="20"/>
      <c r="N1354" s="20"/>
      <c r="O1354" s="81"/>
      <c r="P1354" s="85"/>
      <c r="Q1354" s="85"/>
      <c r="R1354" s="14"/>
      <c r="S1354" s="14"/>
    </row>
    <row r="1355" spans="2:19" ht="12" hidden="1" customHeight="1" x14ac:dyDescent="0.25">
      <c r="B1355" s="16">
        <v>43882.125</v>
      </c>
      <c r="C1355" s="50" t="s">
        <v>1303</v>
      </c>
      <c r="D1355" s="34"/>
      <c r="E1355" s="37">
        <v>18915827</v>
      </c>
      <c r="F1355" s="37"/>
      <c r="G1355" s="37">
        <f>+E1355</f>
        <v>18915827</v>
      </c>
      <c r="H1355" s="64">
        <v>453026.1</v>
      </c>
      <c r="I1355" s="64">
        <v>1748521.83</v>
      </c>
      <c r="J1355" s="64">
        <v>109680.01</v>
      </c>
      <c r="K1355" s="18">
        <f>+G1355-H1355-I1355-J1355</f>
        <v>16604599.059999999</v>
      </c>
      <c r="L1355" s="19">
        <f>+L1354-G1355</f>
        <v>6</v>
      </c>
      <c r="M1355" s="20"/>
      <c r="N1355" s="20"/>
      <c r="O1355" s="81"/>
      <c r="P1355" s="85"/>
      <c r="Q1355" s="85"/>
      <c r="R1355" s="14"/>
      <c r="S1355" s="14"/>
    </row>
    <row r="1356" spans="2:19" ht="12" hidden="1" customHeight="1" x14ac:dyDescent="0.25">
      <c r="B1356" s="16"/>
      <c r="C1356" s="50" t="s">
        <v>654</v>
      </c>
      <c r="D1356" s="34"/>
      <c r="E1356" s="37">
        <v>6</v>
      </c>
      <c r="F1356" s="37"/>
      <c r="G1356" s="37"/>
      <c r="H1356" s="64"/>
      <c r="I1356" s="64"/>
      <c r="J1356" s="64"/>
      <c r="K1356" s="18"/>
      <c r="L1356" s="19">
        <f>+L1355-E1356</f>
        <v>0</v>
      </c>
      <c r="M1356" s="20"/>
      <c r="N1356" s="20"/>
      <c r="O1356" s="81"/>
      <c r="P1356" s="85"/>
      <c r="Q1356" s="85"/>
      <c r="R1356" s="14"/>
      <c r="S1356" s="14"/>
    </row>
    <row r="1357" spans="2:19" ht="12.95" hidden="1" customHeight="1" x14ac:dyDescent="0.25">
      <c r="B1357" s="9" t="s">
        <v>1304</v>
      </c>
      <c r="C1357" s="10"/>
      <c r="D1357" s="11">
        <v>63000000</v>
      </c>
      <c r="E1357" s="11">
        <f>+D1357</f>
        <v>63000000</v>
      </c>
      <c r="F1357" s="11"/>
      <c r="G1357" s="11"/>
      <c r="H1357" s="11"/>
      <c r="I1357" s="11"/>
      <c r="J1357" s="11"/>
      <c r="K1357" s="11"/>
      <c r="L1357" s="11">
        <f>+D1357</f>
        <v>63000000</v>
      </c>
      <c r="M1357" s="12"/>
      <c r="N1357" s="12"/>
      <c r="P1357" s="55"/>
      <c r="Q1357" s="55"/>
      <c r="R1357" s="14"/>
      <c r="S1357" s="14"/>
    </row>
    <row r="1358" spans="2:19" ht="12.95" hidden="1" customHeight="1" x14ac:dyDescent="0.25">
      <c r="B1358" s="16">
        <v>43173.083333333336</v>
      </c>
      <c r="C1358" s="50" t="s">
        <v>1305</v>
      </c>
      <c r="D1358" s="34"/>
      <c r="E1358" s="37">
        <v>9000000</v>
      </c>
      <c r="F1358" s="37"/>
      <c r="G1358" s="37">
        <f t="shared" ref="G1358:G1364" si="247">+E1358</f>
        <v>9000000</v>
      </c>
      <c r="H1358" s="64"/>
      <c r="I1358" s="64">
        <v>609558.01</v>
      </c>
      <c r="J1358" s="64">
        <v>77028.84</v>
      </c>
      <c r="K1358" s="18">
        <f t="shared" ref="K1358:K1364" si="248">+G1358-H1358-I1358-J1358</f>
        <v>8313413.1500000004</v>
      </c>
      <c r="L1358" s="19">
        <f t="shared" ref="L1358:L1364" si="249">+L1357-G1358</f>
        <v>54000000</v>
      </c>
      <c r="M1358" s="20"/>
      <c r="N1358" s="20"/>
      <c r="O1358" s="81"/>
      <c r="P1358" s="55"/>
      <c r="Q1358" s="55"/>
      <c r="R1358" s="14"/>
      <c r="S1358" s="14"/>
    </row>
    <row r="1359" spans="2:19" ht="12.95" hidden="1" customHeight="1" x14ac:dyDescent="0.25">
      <c r="B1359" s="16">
        <v>43222</v>
      </c>
      <c r="C1359" s="50" t="s">
        <v>1306</v>
      </c>
      <c r="D1359" s="34"/>
      <c r="E1359" s="37">
        <v>9000000</v>
      </c>
      <c r="F1359" s="37"/>
      <c r="G1359" s="37">
        <f t="shared" si="247"/>
        <v>9000000</v>
      </c>
      <c r="H1359" s="64"/>
      <c r="I1359" s="64">
        <v>609558.01</v>
      </c>
      <c r="J1359" s="64">
        <v>77028.84</v>
      </c>
      <c r="K1359" s="18">
        <f t="shared" si="248"/>
        <v>8313413.1500000004</v>
      </c>
      <c r="L1359" s="19">
        <f t="shared" si="249"/>
        <v>45000000</v>
      </c>
      <c r="M1359" s="20"/>
      <c r="N1359" s="20"/>
      <c r="O1359" s="81"/>
      <c r="P1359" s="55"/>
      <c r="Q1359" s="55"/>
      <c r="R1359" s="14"/>
      <c r="S1359" s="14"/>
    </row>
    <row r="1360" spans="2:19" ht="12.75" hidden="1" customHeight="1" x14ac:dyDescent="0.25">
      <c r="B1360" s="16">
        <v>43235</v>
      </c>
      <c r="C1360" s="50" t="s">
        <v>1307</v>
      </c>
      <c r="D1360" s="34"/>
      <c r="E1360" s="37">
        <v>9000000</v>
      </c>
      <c r="F1360" s="37"/>
      <c r="G1360" s="37">
        <f t="shared" si="247"/>
        <v>9000000</v>
      </c>
      <c r="H1360" s="64"/>
      <c r="I1360" s="64">
        <v>609558.01</v>
      </c>
      <c r="J1360" s="64">
        <v>77028.84</v>
      </c>
      <c r="K1360" s="18">
        <f t="shared" si="248"/>
        <v>8313413.1500000004</v>
      </c>
      <c r="L1360" s="19">
        <f t="shared" si="249"/>
        <v>36000000</v>
      </c>
      <c r="M1360" s="20"/>
      <c r="N1360" s="20"/>
      <c r="O1360" s="81"/>
      <c r="P1360" s="55"/>
      <c r="Q1360" s="55"/>
      <c r="R1360" s="14"/>
      <c r="S1360" s="14"/>
    </row>
    <row r="1361" spans="2:19" ht="12.95" hidden="1" customHeight="1" x14ac:dyDescent="0.25">
      <c r="B1361" s="16">
        <v>43271.083333333336</v>
      </c>
      <c r="C1361" s="50" t="s">
        <v>1308</v>
      </c>
      <c r="D1361" s="34"/>
      <c r="E1361" s="37">
        <v>9000000</v>
      </c>
      <c r="F1361" s="37"/>
      <c r="G1361" s="37">
        <f t="shared" si="247"/>
        <v>9000000</v>
      </c>
      <c r="H1361" s="64"/>
      <c r="I1361" s="64">
        <v>609558.01</v>
      </c>
      <c r="J1361" s="64">
        <v>77028.84</v>
      </c>
      <c r="K1361" s="18">
        <f t="shared" si="248"/>
        <v>8313413.1500000004</v>
      </c>
      <c r="L1361" s="19">
        <f t="shared" si="249"/>
        <v>27000000</v>
      </c>
      <c r="M1361" s="20"/>
      <c r="N1361" s="20"/>
      <c r="O1361" s="81">
        <f>+L1364-'[1]ANEXO 7 - PPTO VIG 2018'!T40</f>
        <v>0</v>
      </c>
      <c r="P1361" s="55"/>
      <c r="Q1361" s="55"/>
      <c r="R1361" s="14"/>
      <c r="S1361" s="14"/>
    </row>
    <row r="1362" spans="2:19" ht="12.75" hidden="1" customHeight="1" x14ac:dyDescent="0.25">
      <c r="B1362" s="16">
        <v>43320.083333333336</v>
      </c>
      <c r="C1362" s="50" t="s">
        <v>1309</v>
      </c>
      <c r="D1362" s="34"/>
      <c r="E1362" s="37">
        <v>9000000</v>
      </c>
      <c r="F1362" s="37"/>
      <c r="G1362" s="37">
        <f t="shared" si="247"/>
        <v>9000000</v>
      </c>
      <c r="H1362" s="64"/>
      <c r="I1362" s="64">
        <v>609558.01</v>
      </c>
      <c r="J1362" s="64">
        <v>77028.84</v>
      </c>
      <c r="K1362" s="18">
        <f t="shared" si="248"/>
        <v>8313413.1500000004</v>
      </c>
      <c r="L1362" s="19">
        <f t="shared" si="249"/>
        <v>18000000</v>
      </c>
      <c r="M1362" s="20"/>
      <c r="N1362" s="20"/>
      <c r="O1362" s="81"/>
      <c r="P1362" s="55"/>
      <c r="Q1362" s="55"/>
      <c r="R1362" s="14"/>
      <c r="S1362" s="14"/>
    </row>
    <row r="1363" spans="2:19" ht="12.75" hidden="1" customHeight="1" x14ac:dyDescent="0.25">
      <c r="B1363" s="16">
        <v>43389.083333333336</v>
      </c>
      <c r="C1363" s="50" t="s">
        <v>1310</v>
      </c>
      <c r="D1363" s="34"/>
      <c r="E1363" s="37">
        <v>9000000</v>
      </c>
      <c r="F1363" s="37"/>
      <c r="G1363" s="37">
        <f t="shared" si="247"/>
        <v>9000000</v>
      </c>
      <c r="H1363" s="64"/>
      <c r="I1363" s="64">
        <v>552188.11</v>
      </c>
      <c r="J1363" s="64">
        <v>77028.84</v>
      </c>
      <c r="K1363" s="18">
        <f t="shared" si="248"/>
        <v>8370783.0500000007</v>
      </c>
      <c r="L1363" s="19">
        <f t="shared" si="249"/>
        <v>9000000</v>
      </c>
      <c r="M1363" s="20"/>
      <c r="N1363" s="20"/>
      <c r="O1363" s="81"/>
      <c r="P1363" s="55"/>
      <c r="Q1363" s="55"/>
      <c r="R1363" s="14"/>
      <c r="S1363" s="14"/>
    </row>
    <row r="1364" spans="2:19" ht="12.75" hidden="1" customHeight="1" x14ac:dyDescent="0.25">
      <c r="B1364" s="16">
        <v>43426.125</v>
      </c>
      <c r="C1364" s="50" t="s">
        <v>1311</v>
      </c>
      <c r="D1364" s="34"/>
      <c r="E1364" s="37">
        <v>9000000</v>
      </c>
      <c r="F1364" s="37"/>
      <c r="G1364" s="37">
        <f t="shared" si="247"/>
        <v>9000000</v>
      </c>
      <c r="H1364" s="64"/>
      <c r="I1364" s="64">
        <v>552188.11</v>
      </c>
      <c r="J1364" s="64">
        <v>77028.84</v>
      </c>
      <c r="K1364" s="18">
        <f t="shared" si="248"/>
        <v>8370783.0500000007</v>
      </c>
      <c r="L1364" s="19">
        <f t="shared" si="249"/>
        <v>0</v>
      </c>
      <c r="M1364" s="20"/>
      <c r="N1364" s="20"/>
      <c r="O1364" s="81"/>
      <c r="P1364" s="55"/>
      <c r="Q1364" s="55"/>
      <c r="R1364" s="14"/>
      <c r="S1364" s="14"/>
    </row>
    <row r="1365" spans="2:19" ht="12.95" hidden="1" customHeight="1" x14ac:dyDescent="0.25">
      <c r="B1365" s="9" t="s">
        <v>1312</v>
      </c>
      <c r="C1365" s="10"/>
      <c r="D1365" s="11">
        <v>88000000</v>
      </c>
      <c r="E1365" s="11">
        <f>+D1365</f>
        <v>88000000</v>
      </c>
      <c r="F1365" s="11"/>
      <c r="G1365" s="11"/>
      <c r="H1365" s="11"/>
      <c r="I1365" s="11"/>
      <c r="J1365" s="11"/>
      <c r="K1365" s="11"/>
      <c r="L1365" s="11">
        <f>+D1365</f>
        <v>88000000</v>
      </c>
      <c r="M1365" s="12"/>
      <c r="N1365" s="12"/>
      <c r="P1365" s="55"/>
      <c r="Q1365" s="55"/>
      <c r="R1365" s="14"/>
      <c r="S1365" s="14"/>
    </row>
    <row r="1366" spans="2:19" ht="12.95" hidden="1" customHeight="1" x14ac:dyDescent="0.25">
      <c r="B1366" s="16">
        <v>43174.083333333336</v>
      </c>
      <c r="C1366" s="50" t="s">
        <v>1313</v>
      </c>
      <c r="D1366" s="34"/>
      <c r="E1366" s="37">
        <v>8000000</v>
      </c>
      <c r="F1366" s="37"/>
      <c r="G1366" s="37">
        <f>+E1366</f>
        <v>8000000</v>
      </c>
      <c r="H1366" s="64"/>
      <c r="I1366" s="64">
        <v>290633.89</v>
      </c>
      <c r="J1366" s="64">
        <v>68470.080000000002</v>
      </c>
      <c r="K1366" s="18">
        <f t="shared" ref="K1366:K1371" si="250">+G1366-H1366-I1366-J1366</f>
        <v>7640896.0300000003</v>
      </c>
      <c r="L1366" s="19">
        <f t="shared" ref="L1366:L1376" si="251">+L1365-G1366</f>
        <v>80000000</v>
      </c>
      <c r="M1366" s="20"/>
      <c r="N1366" s="20"/>
      <c r="O1366" s="81"/>
      <c r="P1366" s="55"/>
      <c r="Q1366" s="55"/>
      <c r="R1366" s="14"/>
      <c r="S1366" s="14"/>
    </row>
    <row r="1367" spans="2:19" ht="12.95" hidden="1" customHeight="1" x14ac:dyDescent="0.25">
      <c r="B1367" s="16">
        <v>43201.083333333336</v>
      </c>
      <c r="C1367" s="50" t="s">
        <v>1314</v>
      </c>
      <c r="D1367" s="34"/>
      <c r="E1367" s="37">
        <v>8000000</v>
      </c>
      <c r="F1367" s="37"/>
      <c r="G1367" s="37">
        <f>+E1367</f>
        <v>8000000</v>
      </c>
      <c r="H1367" s="64"/>
      <c r="I1367" s="64">
        <v>290634.46000000002</v>
      </c>
      <c r="J1367" s="64">
        <v>68470.080000000002</v>
      </c>
      <c r="K1367" s="18">
        <f t="shared" si="250"/>
        <v>7640895.46</v>
      </c>
      <c r="L1367" s="19">
        <f t="shared" si="251"/>
        <v>72000000</v>
      </c>
      <c r="M1367" s="20"/>
      <c r="N1367" s="20"/>
      <c r="O1367" s="81"/>
      <c r="P1367" s="55"/>
      <c r="Q1367" s="55"/>
      <c r="R1367" s="14"/>
      <c r="S1367" s="14"/>
    </row>
    <row r="1368" spans="2:19" ht="12.95" hidden="1" customHeight="1" x14ac:dyDescent="0.25">
      <c r="B1368" s="16">
        <v>43236</v>
      </c>
      <c r="C1368" s="50" t="s">
        <v>1315</v>
      </c>
      <c r="D1368" s="34"/>
      <c r="E1368" s="37">
        <v>8000000</v>
      </c>
      <c r="F1368" s="37"/>
      <c r="G1368" s="37">
        <v>8000000</v>
      </c>
      <c r="H1368" s="64"/>
      <c r="I1368" s="64">
        <v>290035.96000000002</v>
      </c>
      <c r="J1368" s="64">
        <v>68470.080000000002</v>
      </c>
      <c r="K1368" s="18">
        <f t="shared" si="250"/>
        <v>7641493.96</v>
      </c>
      <c r="L1368" s="19">
        <f t="shared" si="251"/>
        <v>64000000</v>
      </c>
      <c r="M1368" s="20"/>
      <c r="N1368" s="20"/>
      <c r="O1368" s="81"/>
      <c r="P1368" s="55"/>
      <c r="Q1368" s="55"/>
      <c r="R1368" s="14"/>
      <c r="S1368" s="14"/>
    </row>
    <row r="1369" spans="2:19" ht="12.95" hidden="1" customHeight="1" x14ac:dyDescent="0.25">
      <c r="B1369" s="16">
        <v>43249.083333333336</v>
      </c>
      <c r="C1369" s="50" t="s">
        <v>1316</v>
      </c>
      <c r="D1369" s="34"/>
      <c r="E1369" s="37">
        <v>8000000</v>
      </c>
      <c r="F1369" s="37"/>
      <c r="G1369" s="37">
        <v>8000000</v>
      </c>
      <c r="H1369" s="64"/>
      <c r="I1369" s="64">
        <v>290634.46000000002</v>
      </c>
      <c r="J1369" s="64">
        <v>68470.080000000002</v>
      </c>
      <c r="K1369" s="18">
        <f t="shared" si="250"/>
        <v>7640895.46</v>
      </c>
      <c r="L1369" s="19">
        <f t="shared" si="251"/>
        <v>56000000</v>
      </c>
      <c r="M1369" s="20"/>
      <c r="N1369" s="20"/>
      <c r="O1369" s="81"/>
      <c r="P1369" s="55"/>
      <c r="Q1369" s="55"/>
      <c r="R1369" s="14"/>
      <c r="S1369" s="14"/>
    </row>
    <row r="1370" spans="2:19" ht="12.95" hidden="1" customHeight="1" x14ac:dyDescent="0.25">
      <c r="B1370" s="16">
        <v>43287.083333333336</v>
      </c>
      <c r="C1370" s="50" t="s">
        <v>1317</v>
      </c>
      <c r="D1370" s="34"/>
      <c r="E1370" s="37">
        <v>8000000</v>
      </c>
      <c r="F1370" s="37"/>
      <c r="G1370" s="37">
        <v>8000000</v>
      </c>
      <c r="H1370" s="64"/>
      <c r="I1370" s="64">
        <v>290634.46000000002</v>
      </c>
      <c r="J1370" s="64">
        <v>68470.080000000002</v>
      </c>
      <c r="K1370" s="18">
        <f t="shared" si="250"/>
        <v>7640895.46</v>
      </c>
      <c r="L1370" s="19">
        <f t="shared" si="251"/>
        <v>48000000</v>
      </c>
      <c r="M1370" s="20"/>
      <c r="N1370" s="20"/>
      <c r="O1370" s="81">
        <f>+L1376-'[1]ANEXO 7 - PPTO VIG 2018'!T41</f>
        <v>0</v>
      </c>
      <c r="P1370" s="55"/>
      <c r="Q1370" s="55"/>
      <c r="R1370" s="14"/>
      <c r="S1370" s="14"/>
    </row>
    <row r="1371" spans="2:19" ht="12.95" hidden="1" customHeight="1" x14ac:dyDescent="0.25">
      <c r="B1371" s="16">
        <v>43311.083333333336</v>
      </c>
      <c r="C1371" s="50" t="s">
        <v>1318</v>
      </c>
      <c r="D1371" s="34"/>
      <c r="E1371" s="37">
        <v>8000000</v>
      </c>
      <c r="F1371" s="37"/>
      <c r="G1371" s="37">
        <v>8000000</v>
      </c>
      <c r="H1371" s="64"/>
      <c r="I1371" s="64">
        <v>290634.46000000002</v>
      </c>
      <c r="J1371" s="64">
        <v>68470.080000000002</v>
      </c>
      <c r="K1371" s="18">
        <f t="shared" si="250"/>
        <v>7640895.46</v>
      </c>
      <c r="L1371" s="19">
        <f t="shared" si="251"/>
        <v>40000000</v>
      </c>
      <c r="M1371" s="20"/>
      <c r="N1371" s="20"/>
      <c r="O1371" s="81"/>
      <c r="P1371" s="55"/>
      <c r="Q1371" s="55"/>
      <c r="R1371" s="14"/>
      <c r="S1371" s="14"/>
    </row>
    <row r="1372" spans="2:19" ht="12.95" hidden="1" customHeight="1" x14ac:dyDescent="0.25">
      <c r="B1372" s="16">
        <v>43347.083333333336</v>
      </c>
      <c r="C1372" s="50" t="s">
        <v>1319</v>
      </c>
      <c r="D1372" s="34"/>
      <c r="E1372" s="37">
        <v>8000000</v>
      </c>
      <c r="F1372" s="37"/>
      <c r="G1372" s="37">
        <v>8000000</v>
      </c>
      <c r="H1372" s="64"/>
      <c r="I1372" s="37">
        <v>290634.46000000002</v>
      </c>
      <c r="J1372" s="64">
        <v>68470.080000000002</v>
      </c>
      <c r="K1372" s="18">
        <f>+G1372-H1372-I1372-J1372</f>
        <v>7640895.46</v>
      </c>
      <c r="L1372" s="19">
        <f t="shared" si="251"/>
        <v>32000000</v>
      </c>
      <c r="M1372" s="20"/>
      <c r="N1372" s="20"/>
      <c r="O1372" s="81"/>
      <c r="P1372" s="55"/>
      <c r="Q1372" s="55"/>
      <c r="R1372" s="14"/>
      <c r="S1372" s="14"/>
    </row>
    <row r="1373" spans="2:19" ht="12.95" hidden="1" customHeight="1" x14ac:dyDescent="0.25">
      <c r="B1373" s="16">
        <v>43374.083333333336</v>
      </c>
      <c r="C1373" s="50" t="s">
        <v>1320</v>
      </c>
      <c r="D1373" s="34"/>
      <c r="E1373" s="37">
        <v>8000000</v>
      </c>
      <c r="F1373" s="37"/>
      <c r="G1373" s="37">
        <v>8000000</v>
      </c>
      <c r="H1373" s="64"/>
      <c r="I1373" s="37">
        <v>451008</v>
      </c>
      <c r="J1373" s="64">
        <v>77280</v>
      </c>
      <c r="K1373" s="18">
        <f>+G1373-H1373-I1373-J1373</f>
        <v>7471712</v>
      </c>
      <c r="L1373" s="19">
        <f t="shared" si="251"/>
        <v>24000000</v>
      </c>
      <c r="M1373" s="20"/>
      <c r="N1373" s="20"/>
      <c r="O1373" s="81"/>
      <c r="P1373" s="55"/>
      <c r="Q1373" s="55"/>
      <c r="R1373" s="14"/>
      <c r="S1373" s="14"/>
    </row>
    <row r="1374" spans="2:19" ht="12.95" hidden="1" customHeight="1" x14ac:dyDescent="0.25">
      <c r="B1374" s="16">
        <v>43405.083333333336</v>
      </c>
      <c r="C1374" s="50" t="s">
        <v>1321</v>
      </c>
      <c r="D1374" s="34"/>
      <c r="E1374" s="37">
        <v>8000000</v>
      </c>
      <c r="F1374" s="37"/>
      <c r="G1374" s="37">
        <v>8000000</v>
      </c>
      <c r="H1374" s="64"/>
      <c r="I1374" s="37">
        <v>290035.96000000002</v>
      </c>
      <c r="J1374" s="64">
        <v>68470.080000000002</v>
      </c>
      <c r="K1374" s="18">
        <f>+G1374-H1374-I1374-J1374</f>
        <v>7641493.96</v>
      </c>
      <c r="L1374" s="19">
        <f t="shared" si="251"/>
        <v>16000000</v>
      </c>
      <c r="M1374" s="20"/>
      <c r="N1374" s="20"/>
      <c r="O1374" s="81"/>
      <c r="P1374" s="55"/>
      <c r="Q1374" s="55"/>
      <c r="R1374" s="14"/>
      <c r="S1374" s="14"/>
    </row>
    <row r="1375" spans="2:19" ht="12.95" hidden="1" customHeight="1" x14ac:dyDescent="0.25">
      <c r="B1375" s="16">
        <v>43437.125</v>
      </c>
      <c r="C1375" s="50" t="s">
        <v>1322</v>
      </c>
      <c r="D1375" s="34"/>
      <c r="E1375" s="37">
        <v>8000000</v>
      </c>
      <c r="F1375" s="37"/>
      <c r="G1375" s="37">
        <v>8000000</v>
      </c>
      <c r="H1375" s="64"/>
      <c r="I1375" s="37">
        <v>290035.96000000002</v>
      </c>
      <c r="J1375" s="64">
        <v>68470.080000000002</v>
      </c>
      <c r="K1375" s="18">
        <f>+G1375-H1375-I1375-J1375</f>
        <v>7641493.96</v>
      </c>
      <c r="L1375" s="19">
        <f t="shared" si="251"/>
        <v>8000000</v>
      </c>
      <c r="M1375" s="20"/>
      <c r="N1375" s="20"/>
      <c r="O1375" s="81"/>
      <c r="P1375" s="55"/>
      <c r="Q1375" s="55"/>
      <c r="R1375" s="14"/>
      <c r="S1375" s="14"/>
    </row>
    <row r="1376" spans="2:19" ht="12.95" hidden="1" customHeight="1" x14ac:dyDescent="0.25">
      <c r="B1376" s="16">
        <v>43475.125</v>
      </c>
      <c r="C1376" s="50" t="s">
        <v>1323</v>
      </c>
      <c r="D1376" s="34"/>
      <c r="E1376" s="37">
        <v>8000000</v>
      </c>
      <c r="F1376" s="37"/>
      <c r="G1376" s="37">
        <v>8000000</v>
      </c>
      <c r="H1376" s="64"/>
      <c r="I1376" s="37">
        <v>381613</v>
      </c>
      <c r="J1376" s="64">
        <v>68470.080000000002</v>
      </c>
      <c r="K1376" s="18">
        <f>+G1376-H1376-I1376-J1376</f>
        <v>7549916.9199999999</v>
      </c>
      <c r="L1376" s="19">
        <f t="shared" si="251"/>
        <v>0</v>
      </c>
      <c r="M1376" s="20"/>
      <c r="N1376" s="20"/>
      <c r="O1376" s="81"/>
      <c r="P1376" s="55"/>
      <c r="Q1376" s="55"/>
      <c r="R1376" s="14"/>
      <c r="S1376" s="14"/>
    </row>
    <row r="1377" spans="2:19" ht="12.95" hidden="1" customHeight="1" x14ac:dyDescent="0.25">
      <c r="B1377" s="9" t="s">
        <v>1324</v>
      </c>
      <c r="C1377" s="10"/>
      <c r="D1377" s="11">
        <v>58310000</v>
      </c>
      <c r="E1377" s="11">
        <f>+D1377</f>
        <v>58310000</v>
      </c>
      <c r="F1377" s="11"/>
      <c r="G1377" s="11"/>
      <c r="H1377" s="11"/>
      <c r="I1377" s="11"/>
      <c r="J1377" s="11"/>
      <c r="K1377" s="11"/>
      <c r="L1377" s="11">
        <f>+D1377</f>
        <v>58310000</v>
      </c>
      <c r="M1377" s="12"/>
      <c r="N1377" s="12"/>
      <c r="P1377" s="55"/>
      <c r="Q1377" s="55"/>
      <c r="R1377" s="14"/>
      <c r="S1377" s="14"/>
    </row>
    <row r="1378" spans="2:19" ht="12.95" hidden="1" customHeight="1" x14ac:dyDescent="0.25">
      <c r="B1378" s="16">
        <v>43200.083333333336</v>
      </c>
      <c r="C1378" s="50" t="s">
        <v>1325</v>
      </c>
      <c r="D1378" s="34"/>
      <c r="E1378" s="37">
        <v>8330000</v>
      </c>
      <c r="F1378" s="37"/>
      <c r="G1378" s="37">
        <f t="shared" ref="G1378:G1384" si="252">+E1378</f>
        <v>8330000</v>
      </c>
      <c r="H1378" s="64">
        <v>199500</v>
      </c>
      <c r="I1378" s="64">
        <v>770000</v>
      </c>
      <c r="J1378" s="64">
        <v>67620</v>
      </c>
      <c r="K1378" s="18">
        <f t="shared" ref="K1378:K1383" si="253">+G1378-H1378-I1378-J1378</f>
        <v>7292880</v>
      </c>
      <c r="L1378" s="19">
        <f t="shared" ref="L1378:L1384" si="254">+L1377-G1378</f>
        <v>49980000</v>
      </c>
      <c r="M1378" s="20"/>
      <c r="N1378" s="20"/>
      <c r="O1378" s="81"/>
      <c r="P1378" s="55"/>
      <c r="Q1378" s="55"/>
      <c r="R1378" s="14"/>
      <c r="S1378" s="14"/>
    </row>
    <row r="1379" spans="2:19" ht="12.95" hidden="1" customHeight="1" x14ac:dyDescent="0.25">
      <c r="B1379" s="16">
        <v>43236</v>
      </c>
      <c r="C1379" s="50" t="s">
        <v>1326</v>
      </c>
      <c r="D1379" s="34"/>
      <c r="E1379" s="37">
        <v>8330000</v>
      </c>
      <c r="F1379" s="37"/>
      <c r="G1379" s="37">
        <f t="shared" si="252"/>
        <v>8330000</v>
      </c>
      <c r="H1379" s="64">
        <v>199500</v>
      </c>
      <c r="I1379" s="64">
        <v>770000</v>
      </c>
      <c r="J1379" s="64">
        <v>67620</v>
      </c>
      <c r="K1379" s="18">
        <f t="shared" si="253"/>
        <v>7292880</v>
      </c>
      <c r="L1379" s="19">
        <f t="shared" si="254"/>
        <v>41650000</v>
      </c>
      <c r="M1379" s="20"/>
      <c r="N1379" s="20"/>
      <c r="O1379" s="81"/>
      <c r="P1379" s="55"/>
      <c r="Q1379" s="55"/>
      <c r="R1379" s="14"/>
      <c r="S1379" s="14"/>
    </row>
    <row r="1380" spans="2:19" ht="12.95" hidden="1" customHeight="1" x14ac:dyDescent="0.25">
      <c r="B1380" s="16">
        <v>43270.083333333336</v>
      </c>
      <c r="C1380" s="50" t="s">
        <v>1327</v>
      </c>
      <c r="D1380" s="34"/>
      <c r="E1380" s="37">
        <v>8330000</v>
      </c>
      <c r="F1380" s="37"/>
      <c r="G1380" s="37">
        <f t="shared" si="252"/>
        <v>8330000</v>
      </c>
      <c r="H1380" s="64">
        <v>199500</v>
      </c>
      <c r="I1380" s="64">
        <v>770000</v>
      </c>
      <c r="J1380" s="64">
        <v>67620</v>
      </c>
      <c r="K1380" s="18">
        <f t="shared" si="253"/>
        <v>7292880</v>
      </c>
      <c r="L1380" s="19">
        <f t="shared" si="254"/>
        <v>33320000</v>
      </c>
      <c r="M1380" s="20"/>
      <c r="N1380" s="20"/>
      <c r="O1380" s="81"/>
      <c r="P1380" s="55"/>
      <c r="Q1380" s="55"/>
      <c r="R1380" s="14"/>
      <c r="S1380" s="14"/>
    </row>
    <row r="1381" spans="2:19" ht="12.95" hidden="1" customHeight="1" x14ac:dyDescent="0.25">
      <c r="B1381" s="16">
        <v>43293.083333333336</v>
      </c>
      <c r="C1381" s="50" t="s">
        <v>1328</v>
      </c>
      <c r="D1381" s="34"/>
      <c r="E1381" s="37">
        <v>8330000</v>
      </c>
      <c r="F1381" s="37"/>
      <c r="G1381" s="37">
        <f t="shared" si="252"/>
        <v>8330000</v>
      </c>
      <c r="H1381" s="64">
        <v>199500</v>
      </c>
      <c r="I1381" s="64">
        <v>770000</v>
      </c>
      <c r="J1381" s="64">
        <v>67620</v>
      </c>
      <c r="K1381" s="18">
        <f t="shared" si="253"/>
        <v>7292880</v>
      </c>
      <c r="L1381" s="19">
        <f t="shared" si="254"/>
        <v>24990000</v>
      </c>
      <c r="M1381" s="20"/>
      <c r="N1381" s="20"/>
      <c r="P1381" s="55"/>
      <c r="Q1381" s="55"/>
      <c r="R1381" s="14"/>
      <c r="S1381" s="14"/>
    </row>
    <row r="1382" spans="2:19" ht="12.95" hidden="1" customHeight="1" x14ac:dyDescent="0.25">
      <c r="B1382" s="16">
        <v>43322.083333333336</v>
      </c>
      <c r="C1382" s="50" t="s">
        <v>1329</v>
      </c>
      <c r="D1382" s="34"/>
      <c r="E1382" s="37">
        <v>8330000</v>
      </c>
      <c r="F1382" s="37"/>
      <c r="G1382" s="37">
        <f t="shared" si="252"/>
        <v>8330000</v>
      </c>
      <c r="H1382" s="64">
        <v>199500</v>
      </c>
      <c r="I1382" s="64">
        <v>770000</v>
      </c>
      <c r="J1382" s="64">
        <v>67620</v>
      </c>
      <c r="K1382" s="18">
        <f t="shared" si="253"/>
        <v>7292880</v>
      </c>
      <c r="L1382" s="19">
        <f t="shared" si="254"/>
        <v>16660000</v>
      </c>
      <c r="M1382" s="20"/>
      <c r="N1382" s="20"/>
      <c r="O1382" s="81">
        <f>+L1384-'[1]ANEXO 7 - PPTO VIG 2018'!T12</f>
        <v>0</v>
      </c>
      <c r="P1382" s="55"/>
      <c r="Q1382" s="55"/>
      <c r="R1382" s="14"/>
      <c r="S1382" s="14"/>
    </row>
    <row r="1383" spans="2:19" ht="12.95" hidden="1" customHeight="1" x14ac:dyDescent="0.25">
      <c r="B1383" s="16">
        <v>43339.083333333336</v>
      </c>
      <c r="C1383" s="50" t="s">
        <v>1330</v>
      </c>
      <c r="D1383" s="34"/>
      <c r="E1383" s="37">
        <v>8330000</v>
      </c>
      <c r="F1383" s="37"/>
      <c r="G1383" s="37">
        <f t="shared" si="252"/>
        <v>8330000</v>
      </c>
      <c r="H1383" s="64">
        <v>199500</v>
      </c>
      <c r="I1383" s="64">
        <v>770000</v>
      </c>
      <c r="J1383" s="64">
        <v>67620</v>
      </c>
      <c r="K1383" s="18">
        <f t="shared" si="253"/>
        <v>7292880</v>
      </c>
      <c r="L1383" s="19">
        <f t="shared" si="254"/>
        <v>8330000</v>
      </c>
      <c r="M1383" s="20"/>
      <c r="N1383" s="20"/>
      <c r="O1383" s="81"/>
      <c r="P1383" s="55"/>
      <c r="Q1383" s="55"/>
      <c r="R1383" s="14"/>
      <c r="S1383" s="14"/>
    </row>
    <row r="1384" spans="2:19" ht="12.95" hidden="1" customHeight="1" x14ac:dyDescent="0.25">
      <c r="B1384" s="16">
        <v>43374.083333333336</v>
      </c>
      <c r="C1384" s="50" t="s">
        <v>1331</v>
      </c>
      <c r="D1384" s="34"/>
      <c r="E1384" s="37">
        <v>8330000</v>
      </c>
      <c r="F1384" s="37"/>
      <c r="G1384" s="37">
        <f t="shared" si="252"/>
        <v>8330000</v>
      </c>
      <c r="H1384" s="64">
        <v>199500</v>
      </c>
      <c r="I1384" s="64">
        <v>770000</v>
      </c>
      <c r="J1384" s="64">
        <v>48300</v>
      </c>
      <c r="K1384" s="18">
        <f>+G1384-H1384-I1384-J1384</f>
        <v>7312200</v>
      </c>
      <c r="L1384" s="19">
        <f t="shared" si="254"/>
        <v>0</v>
      </c>
      <c r="M1384" s="20"/>
      <c r="N1384" s="20"/>
      <c r="O1384" s="81"/>
      <c r="P1384" s="55"/>
      <c r="Q1384" s="55"/>
      <c r="R1384" s="14"/>
      <c r="S1384" s="14"/>
    </row>
    <row r="1385" spans="2:19" ht="12.95" hidden="1" customHeight="1" x14ac:dyDescent="0.25">
      <c r="B1385" s="9" t="s">
        <v>1332</v>
      </c>
      <c r="C1385" s="10"/>
      <c r="D1385" s="11">
        <v>700000000</v>
      </c>
      <c r="E1385" s="11">
        <f>+D1385</f>
        <v>700000000</v>
      </c>
      <c r="F1385" s="11"/>
      <c r="G1385" s="11"/>
      <c r="H1385" s="11"/>
      <c r="I1385" s="11"/>
      <c r="J1385" s="11"/>
      <c r="K1385" s="11"/>
      <c r="L1385" s="11">
        <f>+D1385</f>
        <v>700000000</v>
      </c>
      <c r="M1385" s="12"/>
      <c r="N1385" s="12"/>
      <c r="P1385" s="55"/>
      <c r="Q1385" s="55"/>
      <c r="R1385" s="14"/>
      <c r="S1385" s="14"/>
    </row>
    <row r="1386" spans="2:19" ht="12.75" hidden="1" customHeight="1" x14ac:dyDescent="0.25">
      <c r="B1386" s="16">
        <v>43208.083333333336</v>
      </c>
      <c r="C1386" s="50" t="s">
        <v>1333</v>
      </c>
      <c r="D1386" s="34"/>
      <c r="E1386" s="37">
        <v>210000000</v>
      </c>
      <c r="F1386" s="37"/>
      <c r="G1386" s="37">
        <f>+E1386</f>
        <v>210000000</v>
      </c>
      <c r="H1386" s="64">
        <v>199500</v>
      </c>
      <c r="I1386" s="64">
        <v>770000</v>
      </c>
      <c r="J1386" s="64">
        <v>67620</v>
      </c>
      <c r="K1386" s="18">
        <f>+G1386-H1386-I1386-J1386</f>
        <v>208962880</v>
      </c>
      <c r="L1386" s="19">
        <f>+L1385-G1386</f>
        <v>490000000</v>
      </c>
      <c r="M1386" s="20"/>
      <c r="N1386" s="20"/>
      <c r="O1386" s="81">
        <f>+L1389-'[1]ANEXO 7 - PPTO VIG 2018'!T21</f>
        <v>0</v>
      </c>
      <c r="P1386" s="55"/>
      <c r="Q1386" s="55"/>
      <c r="R1386" s="14"/>
      <c r="S1386" s="14"/>
    </row>
    <row r="1387" spans="2:19" ht="12.75" hidden="1" customHeight="1" x14ac:dyDescent="0.25">
      <c r="B1387" s="16">
        <v>43467.125</v>
      </c>
      <c r="C1387" s="50" t="s">
        <v>1334</v>
      </c>
      <c r="D1387" s="34"/>
      <c r="E1387" s="37">
        <v>350000000</v>
      </c>
      <c r="F1387" s="37"/>
      <c r="G1387" s="37">
        <f>+E1387</f>
        <v>350000000</v>
      </c>
      <c r="H1387" s="64">
        <v>0</v>
      </c>
      <c r="I1387" s="64">
        <v>0</v>
      </c>
      <c r="J1387" s="64">
        <v>0</v>
      </c>
      <c r="K1387" s="18">
        <f>+G1387-H1387-I1387-J1387</f>
        <v>350000000</v>
      </c>
      <c r="L1387" s="19">
        <f>+L1386-G1387</f>
        <v>140000000</v>
      </c>
      <c r="M1387" s="20"/>
      <c r="N1387" s="20"/>
      <c r="O1387" s="81"/>
      <c r="P1387" s="55"/>
      <c r="Q1387" s="55"/>
      <c r="R1387" s="14"/>
      <c r="S1387" s="14"/>
    </row>
    <row r="1388" spans="2:19" ht="12.75" hidden="1" customHeight="1" x14ac:dyDescent="0.25">
      <c r="B1388" s="16">
        <v>43528.125</v>
      </c>
      <c r="C1388" s="50" t="s">
        <v>1335</v>
      </c>
      <c r="D1388" s="34"/>
      <c r="E1388" s="37">
        <v>105000000</v>
      </c>
      <c r="F1388" s="37"/>
      <c r="G1388" s="37">
        <f>+E1388</f>
        <v>105000000</v>
      </c>
      <c r="H1388" s="64">
        <v>0</v>
      </c>
      <c r="I1388" s="64">
        <v>0</v>
      </c>
      <c r="J1388" s="64">
        <v>0</v>
      </c>
      <c r="K1388" s="18">
        <f>+G1388-H1388-I1388-J1388</f>
        <v>105000000</v>
      </c>
      <c r="L1388" s="19">
        <f>+L1387-G1388</f>
        <v>35000000</v>
      </c>
      <c r="M1388" s="20"/>
      <c r="N1388" s="20"/>
      <c r="O1388" s="81"/>
      <c r="P1388" s="55"/>
      <c r="Q1388" s="55"/>
      <c r="R1388" s="14"/>
      <c r="S1388" s="14"/>
    </row>
    <row r="1389" spans="2:19" ht="12.75" hidden="1" customHeight="1" x14ac:dyDescent="0.25">
      <c r="B1389" s="16">
        <v>43525.125</v>
      </c>
      <c r="C1389" s="50" t="s">
        <v>1336</v>
      </c>
      <c r="D1389" s="34"/>
      <c r="E1389" s="37">
        <v>35000000</v>
      </c>
      <c r="F1389" s="37"/>
      <c r="G1389" s="37">
        <f>+E1389</f>
        <v>35000000</v>
      </c>
      <c r="H1389" s="64">
        <v>0</v>
      </c>
      <c r="I1389" s="64">
        <v>0</v>
      </c>
      <c r="J1389" s="64">
        <v>0</v>
      </c>
      <c r="K1389" s="18">
        <f>+G1389-H1389-I1389-J1389</f>
        <v>35000000</v>
      </c>
      <c r="L1389" s="19">
        <f>+L1388-G1389</f>
        <v>0</v>
      </c>
      <c r="M1389" s="20"/>
      <c r="N1389" s="20"/>
      <c r="O1389" s="81"/>
      <c r="P1389" s="55"/>
      <c r="Q1389" s="55"/>
      <c r="R1389" s="14"/>
      <c r="S1389" s="14"/>
    </row>
    <row r="1390" spans="2:19" ht="12.75" hidden="1" customHeight="1" x14ac:dyDescent="0.25">
      <c r="B1390" s="9" t="s">
        <v>1337</v>
      </c>
      <c r="C1390" s="10"/>
      <c r="D1390" s="11">
        <v>700000000</v>
      </c>
      <c r="E1390" s="11">
        <f>+D1390</f>
        <v>700000000</v>
      </c>
      <c r="F1390" s="11"/>
      <c r="G1390" s="11"/>
      <c r="H1390" s="11"/>
      <c r="I1390" s="11"/>
      <c r="J1390" s="11"/>
      <c r="K1390" s="11"/>
      <c r="L1390" s="11">
        <f>+D1390</f>
        <v>700000000</v>
      </c>
      <c r="M1390" s="12"/>
      <c r="N1390" s="12"/>
      <c r="P1390" s="55"/>
      <c r="Q1390" s="55"/>
      <c r="R1390" s="14"/>
      <c r="S1390" s="14"/>
    </row>
    <row r="1391" spans="2:19" ht="12.95" hidden="1" customHeight="1" x14ac:dyDescent="0.25">
      <c r="B1391" s="16">
        <v>43208.083333333336</v>
      </c>
      <c r="C1391" s="50" t="s">
        <v>1338</v>
      </c>
      <c r="D1391" s="34"/>
      <c r="E1391" s="37">
        <v>280000000</v>
      </c>
      <c r="F1391" s="37"/>
      <c r="G1391" s="37">
        <f>+E1391</f>
        <v>280000000</v>
      </c>
      <c r="H1391" s="64">
        <v>199500</v>
      </c>
      <c r="I1391" s="64">
        <v>770000</v>
      </c>
      <c r="J1391" s="64">
        <v>67620</v>
      </c>
      <c r="K1391" s="18">
        <f>+G1391-H1391-I1391-J1391</f>
        <v>278962880</v>
      </c>
      <c r="L1391" s="19">
        <f>+L1390-G1391</f>
        <v>420000000</v>
      </c>
      <c r="M1391" s="20"/>
      <c r="N1391" s="20"/>
      <c r="O1391" s="81">
        <f>+L1393-'[1]ANEXO 7 - PPTO VIG 2018'!T22</f>
        <v>0</v>
      </c>
      <c r="P1391" s="55"/>
      <c r="Q1391" s="55"/>
      <c r="R1391" s="14"/>
      <c r="S1391" s="14"/>
    </row>
    <row r="1392" spans="2:19" ht="12.95" hidden="1" customHeight="1" x14ac:dyDescent="0.25">
      <c r="B1392" s="16">
        <v>43467.125</v>
      </c>
      <c r="C1392" s="50" t="s">
        <v>1339</v>
      </c>
      <c r="D1392" s="34"/>
      <c r="E1392" s="37">
        <v>350000000</v>
      </c>
      <c r="F1392" s="37"/>
      <c r="G1392" s="37">
        <f>+E1392</f>
        <v>350000000</v>
      </c>
      <c r="H1392" s="64">
        <v>0</v>
      </c>
      <c r="I1392" s="64">
        <v>0</v>
      </c>
      <c r="J1392" s="64">
        <v>0</v>
      </c>
      <c r="K1392" s="18">
        <f>+G1392-H1392-I1392-J1392</f>
        <v>350000000</v>
      </c>
      <c r="L1392" s="19">
        <f>+L1391-G1392</f>
        <v>70000000</v>
      </c>
      <c r="M1392" s="20"/>
      <c r="N1392" s="20"/>
      <c r="O1392" s="81"/>
      <c r="P1392" s="55"/>
      <c r="Q1392" s="55"/>
      <c r="R1392" s="14"/>
      <c r="S1392" s="14"/>
    </row>
    <row r="1393" spans="2:19" ht="12.95" hidden="1" customHeight="1" x14ac:dyDescent="0.25">
      <c r="B1393" s="16">
        <v>43565.083333333336</v>
      </c>
      <c r="C1393" s="50" t="s">
        <v>1340</v>
      </c>
      <c r="D1393" s="34"/>
      <c r="E1393" s="37">
        <v>70000000</v>
      </c>
      <c r="F1393" s="37"/>
      <c r="G1393" s="37">
        <f>+E1393</f>
        <v>70000000</v>
      </c>
      <c r="H1393" s="64">
        <v>0</v>
      </c>
      <c r="I1393" s="64">
        <v>0</v>
      </c>
      <c r="J1393" s="64">
        <v>0</v>
      </c>
      <c r="K1393" s="18">
        <f>+G1393-H1393-I1393-J1393</f>
        <v>70000000</v>
      </c>
      <c r="L1393" s="19">
        <f>+L1392-G1393</f>
        <v>0</v>
      </c>
      <c r="M1393" s="20"/>
      <c r="N1393" s="20"/>
      <c r="O1393" s="81"/>
      <c r="P1393" s="55"/>
      <c r="Q1393" s="55"/>
      <c r="R1393" s="14"/>
      <c r="S1393" s="14"/>
    </row>
    <row r="1394" spans="2:19" ht="12.95" hidden="1" customHeight="1" x14ac:dyDescent="0.25">
      <c r="B1394" s="9" t="s">
        <v>1341</v>
      </c>
      <c r="C1394" s="10"/>
      <c r="D1394" s="11">
        <v>99000000</v>
      </c>
      <c r="E1394" s="11">
        <f>+D1394</f>
        <v>99000000</v>
      </c>
      <c r="F1394" s="11"/>
      <c r="G1394" s="11"/>
      <c r="H1394" s="11"/>
      <c r="I1394" s="11"/>
      <c r="J1394" s="11"/>
      <c r="K1394" s="11"/>
      <c r="L1394" s="11">
        <f>+D1394</f>
        <v>99000000</v>
      </c>
      <c r="M1394" s="12"/>
      <c r="N1394" s="12"/>
      <c r="P1394" s="55"/>
      <c r="Q1394" s="55"/>
      <c r="R1394" s="14"/>
      <c r="S1394" s="14"/>
    </row>
    <row r="1395" spans="2:19" ht="12.75" hidden="1" customHeight="1" x14ac:dyDescent="0.25">
      <c r="B1395" s="16">
        <v>43209.083333333336</v>
      </c>
      <c r="C1395" s="50" t="s">
        <v>1342</v>
      </c>
      <c r="D1395" s="34"/>
      <c r="E1395" s="37">
        <v>9000000</v>
      </c>
      <c r="F1395" s="37"/>
      <c r="G1395" s="37">
        <f t="shared" ref="G1395:G1405" si="255">+E1395</f>
        <v>9000000</v>
      </c>
      <c r="H1395" s="64"/>
      <c r="I1395" s="64">
        <v>609599.98</v>
      </c>
      <c r="J1395" s="64">
        <v>77028.84</v>
      </c>
      <c r="K1395" s="18">
        <f t="shared" ref="K1395:K1405" si="256">+G1395-H1395-I1395-J1395</f>
        <v>8313371.1799999997</v>
      </c>
      <c r="L1395" s="19">
        <f t="shared" ref="L1395:L1400" si="257">+L1394-G1395</f>
        <v>90000000</v>
      </c>
      <c r="M1395" s="20"/>
      <c r="N1395" s="20"/>
      <c r="P1395" s="55"/>
      <c r="Q1395" s="55"/>
      <c r="R1395" s="14"/>
      <c r="S1395" s="14"/>
    </row>
    <row r="1396" spans="2:19" ht="12.75" hidden="1" customHeight="1" x14ac:dyDescent="0.25">
      <c r="B1396" s="16">
        <v>43339.083333333336</v>
      </c>
      <c r="C1396" s="50" t="s">
        <v>1343</v>
      </c>
      <c r="D1396" s="34"/>
      <c r="E1396" s="37">
        <v>9000000</v>
      </c>
      <c r="F1396" s="37"/>
      <c r="G1396" s="37">
        <f t="shared" si="255"/>
        <v>9000000</v>
      </c>
      <c r="H1396" s="64"/>
      <c r="I1396" s="64">
        <v>609599.98</v>
      </c>
      <c r="J1396" s="64">
        <v>77028.84</v>
      </c>
      <c r="K1396" s="18">
        <f t="shared" si="256"/>
        <v>8313371.1799999997</v>
      </c>
      <c r="L1396" s="19">
        <f t="shared" si="257"/>
        <v>81000000</v>
      </c>
      <c r="M1396" s="20"/>
      <c r="N1396" s="20"/>
      <c r="O1396" s="81"/>
      <c r="P1396" s="55"/>
      <c r="Q1396" s="55"/>
      <c r="R1396" s="14"/>
      <c r="S1396" s="14"/>
    </row>
    <row r="1397" spans="2:19" ht="12.95" hidden="1" customHeight="1" x14ac:dyDescent="0.25">
      <c r="B1397" s="16">
        <v>43339.083333333336</v>
      </c>
      <c r="C1397" s="50" t="s">
        <v>1344</v>
      </c>
      <c r="D1397" s="34"/>
      <c r="E1397" s="37">
        <v>9000000</v>
      </c>
      <c r="F1397" s="37"/>
      <c r="G1397" s="37">
        <f t="shared" si="255"/>
        <v>9000000</v>
      </c>
      <c r="H1397" s="64"/>
      <c r="I1397" s="64">
        <v>609599.98</v>
      </c>
      <c r="J1397" s="64">
        <v>77028.84</v>
      </c>
      <c r="K1397" s="18">
        <f t="shared" si="256"/>
        <v>8313371.1799999997</v>
      </c>
      <c r="L1397" s="19">
        <f t="shared" si="257"/>
        <v>72000000</v>
      </c>
      <c r="M1397" s="20"/>
      <c r="N1397" s="20"/>
      <c r="O1397" s="81"/>
      <c r="P1397" s="55"/>
      <c r="Q1397" s="55"/>
      <c r="R1397" s="14"/>
      <c r="S1397" s="14"/>
    </row>
    <row r="1398" spans="2:19" ht="12.95" hidden="1" customHeight="1" x14ac:dyDescent="0.25">
      <c r="B1398" s="16">
        <v>43339.083333333336</v>
      </c>
      <c r="C1398" s="50" t="s">
        <v>1345</v>
      </c>
      <c r="D1398" s="34"/>
      <c r="E1398" s="37">
        <v>9000000</v>
      </c>
      <c r="F1398" s="37"/>
      <c r="G1398" s="37">
        <f t="shared" si="255"/>
        <v>9000000</v>
      </c>
      <c r="H1398" s="64"/>
      <c r="I1398" s="64">
        <v>609599.98</v>
      </c>
      <c r="J1398" s="64">
        <v>77028.84</v>
      </c>
      <c r="K1398" s="18">
        <f t="shared" si="256"/>
        <v>8313371.1799999997</v>
      </c>
      <c r="L1398" s="19">
        <f t="shared" si="257"/>
        <v>63000000</v>
      </c>
      <c r="M1398" s="20"/>
      <c r="N1398" s="20"/>
      <c r="O1398" s="81"/>
      <c r="P1398" s="55"/>
      <c r="Q1398" s="55"/>
      <c r="R1398" s="14"/>
      <c r="S1398" s="14"/>
    </row>
    <row r="1399" spans="2:19" ht="12.95" hidden="1" customHeight="1" x14ac:dyDescent="0.25">
      <c r="B1399" s="16">
        <v>43339.083333333336</v>
      </c>
      <c r="C1399" s="50" t="s">
        <v>1346</v>
      </c>
      <c r="D1399" s="34"/>
      <c r="E1399" s="37">
        <v>9000000</v>
      </c>
      <c r="F1399" s="37"/>
      <c r="G1399" s="37">
        <f t="shared" si="255"/>
        <v>9000000</v>
      </c>
      <c r="H1399" s="64"/>
      <c r="I1399" s="64">
        <v>609599.98</v>
      </c>
      <c r="J1399" s="64">
        <v>77028.84</v>
      </c>
      <c r="K1399" s="18">
        <f t="shared" si="256"/>
        <v>8313371.1799999997</v>
      </c>
      <c r="L1399" s="19">
        <f t="shared" si="257"/>
        <v>54000000</v>
      </c>
      <c r="M1399" s="20"/>
      <c r="N1399" s="20"/>
      <c r="O1399" s="81">
        <f>+L1405-'[1]ANEXO 7 - PPTO VIG 2018'!T42</f>
        <v>0</v>
      </c>
      <c r="P1399" s="55"/>
      <c r="Q1399" s="55"/>
      <c r="R1399" s="14"/>
      <c r="S1399" s="14"/>
    </row>
    <row r="1400" spans="2:19" ht="12.95" hidden="1" customHeight="1" x14ac:dyDescent="0.25">
      <c r="B1400" s="16">
        <v>43339.083333333336</v>
      </c>
      <c r="C1400" s="50" t="s">
        <v>1347</v>
      </c>
      <c r="D1400" s="34"/>
      <c r="E1400" s="37">
        <v>9000000</v>
      </c>
      <c r="F1400" s="37"/>
      <c r="G1400" s="37">
        <f t="shared" si="255"/>
        <v>9000000</v>
      </c>
      <c r="H1400" s="64"/>
      <c r="I1400" s="64">
        <v>609599.98</v>
      </c>
      <c r="J1400" s="64">
        <v>77028.84</v>
      </c>
      <c r="K1400" s="18">
        <f t="shared" si="256"/>
        <v>8313371.1799999997</v>
      </c>
      <c r="L1400" s="19">
        <f t="shared" si="257"/>
        <v>45000000</v>
      </c>
      <c r="M1400" s="20"/>
      <c r="N1400" s="20"/>
      <c r="O1400" s="81"/>
      <c r="P1400" s="55"/>
      <c r="Q1400" s="55"/>
      <c r="R1400" s="14"/>
      <c r="S1400" s="14"/>
    </row>
    <row r="1401" spans="2:19" ht="12.95" hidden="1" customHeight="1" x14ac:dyDescent="0.25">
      <c r="B1401" s="16">
        <v>43475.125</v>
      </c>
      <c r="C1401" s="50" t="s">
        <v>1348</v>
      </c>
      <c r="D1401" s="34"/>
      <c r="E1401" s="37">
        <v>9000000</v>
      </c>
      <c r="F1401" s="37"/>
      <c r="G1401" s="37">
        <f t="shared" si="255"/>
        <v>9000000</v>
      </c>
      <c r="H1401" s="64"/>
      <c r="I1401" s="64">
        <v>573952.01</v>
      </c>
      <c r="J1401" s="64">
        <v>77028.84</v>
      </c>
      <c r="K1401" s="18">
        <f t="shared" si="256"/>
        <v>8349019.1500000004</v>
      </c>
      <c r="L1401" s="19">
        <f>+L1400-G1401</f>
        <v>36000000</v>
      </c>
      <c r="M1401" s="20"/>
      <c r="N1401" s="20"/>
      <c r="O1401" s="81"/>
      <c r="P1401" s="55"/>
      <c r="Q1401" s="55"/>
      <c r="R1401" s="14"/>
      <c r="S1401" s="14"/>
    </row>
    <row r="1402" spans="2:19" ht="12.95" hidden="1" customHeight="1" x14ac:dyDescent="0.25">
      <c r="B1402" s="16">
        <v>43475.125</v>
      </c>
      <c r="C1402" s="50" t="s">
        <v>1349</v>
      </c>
      <c r="D1402" s="34"/>
      <c r="E1402" s="37">
        <v>9000000</v>
      </c>
      <c r="F1402" s="37"/>
      <c r="G1402" s="37">
        <f t="shared" si="255"/>
        <v>9000000</v>
      </c>
      <c r="H1402" s="64"/>
      <c r="I1402" s="64">
        <v>573952.01</v>
      </c>
      <c r="J1402" s="64">
        <v>77028.84</v>
      </c>
      <c r="K1402" s="18">
        <f t="shared" si="256"/>
        <v>8349019.1500000004</v>
      </c>
      <c r="L1402" s="19">
        <f>+L1401-G1402</f>
        <v>27000000</v>
      </c>
      <c r="M1402" s="20"/>
      <c r="N1402" s="20"/>
      <c r="O1402" s="81"/>
      <c r="P1402" s="55"/>
      <c r="Q1402" s="55"/>
      <c r="R1402" s="14"/>
      <c r="S1402" s="14"/>
    </row>
    <row r="1403" spans="2:19" ht="12.95" hidden="1" customHeight="1" x14ac:dyDescent="0.25">
      <c r="B1403" s="16">
        <v>43475.125</v>
      </c>
      <c r="C1403" s="50" t="s">
        <v>1350</v>
      </c>
      <c r="D1403" s="34"/>
      <c r="E1403" s="37">
        <v>9000000</v>
      </c>
      <c r="F1403" s="37"/>
      <c r="G1403" s="37">
        <f t="shared" si="255"/>
        <v>9000000</v>
      </c>
      <c r="H1403" s="64"/>
      <c r="I1403" s="64">
        <v>573952.01</v>
      </c>
      <c r="J1403" s="64">
        <v>77028.84</v>
      </c>
      <c r="K1403" s="18">
        <f t="shared" si="256"/>
        <v>8349019.1500000004</v>
      </c>
      <c r="L1403" s="19">
        <f>+L1402-G1403</f>
        <v>18000000</v>
      </c>
      <c r="M1403" s="20"/>
      <c r="N1403" s="20"/>
      <c r="O1403" s="81"/>
      <c r="P1403" s="55"/>
      <c r="Q1403" s="55"/>
      <c r="R1403" s="14"/>
      <c r="S1403" s="14"/>
    </row>
    <row r="1404" spans="2:19" ht="12.95" hidden="1" customHeight="1" x14ac:dyDescent="0.25">
      <c r="B1404" s="16">
        <v>43475.125</v>
      </c>
      <c r="C1404" s="50" t="s">
        <v>1351</v>
      </c>
      <c r="D1404" s="34"/>
      <c r="E1404" s="37">
        <v>9000000</v>
      </c>
      <c r="F1404" s="37"/>
      <c r="G1404" s="37">
        <f t="shared" si="255"/>
        <v>9000000</v>
      </c>
      <c r="H1404" s="64"/>
      <c r="I1404" s="64">
        <v>573952.01</v>
      </c>
      <c r="J1404" s="64">
        <v>77028.84</v>
      </c>
      <c r="K1404" s="18">
        <f t="shared" si="256"/>
        <v>8349019.1500000004</v>
      </c>
      <c r="L1404" s="19">
        <f>+L1403-G1404</f>
        <v>9000000</v>
      </c>
      <c r="M1404" s="20"/>
      <c r="N1404" s="20"/>
      <c r="O1404" s="81"/>
      <c r="P1404" s="55"/>
      <c r="Q1404" s="55"/>
      <c r="R1404" s="14"/>
      <c r="S1404" s="14"/>
    </row>
    <row r="1405" spans="2:19" ht="12.95" hidden="1" customHeight="1" x14ac:dyDescent="0.25">
      <c r="B1405" s="16">
        <v>43488.125</v>
      </c>
      <c r="C1405" s="50" t="s">
        <v>1352</v>
      </c>
      <c r="D1405" s="34"/>
      <c r="E1405" s="37">
        <v>9000000</v>
      </c>
      <c r="F1405" s="37"/>
      <c r="G1405" s="37">
        <f t="shared" si="255"/>
        <v>9000000</v>
      </c>
      <c r="H1405" s="64"/>
      <c r="I1405" s="64">
        <v>573952.01</v>
      </c>
      <c r="J1405" s="64">
        <v>77028.84</v>
      </c>
      <c r="K1405" s="18">
        <f t="shared" si="256"/>
        <v>8349019.1500000004</v>
      </c>
      <c r="L1405" s="19">
        <f>+L1404-G1405</f>
        <v>0</v>
      </c>
      <c r="M1405" s="20"/>
      <c r="N1405" s="20"/>
      <c r="O1405" s="81"/>
      <c r="P1405" s="55"/>
      <c r="Q1405" s="55"/>
      <c r="R1405" s="14"/>
      <c r="S1405" s="14"/>
    </row>
    <row r="1406" spans="2:19" ht="12.95" hidden="1" customHeight="1" x14ac:dyDescent="0.25">
      <c r="B1406" s="9" t="s">
        <v>1353</v>
      </c>
      <c r="C1406" s="10"/>
      <c r="D1406" s="11">
        <v>56000000</v>
      </c>
      <c r="E1406" s="11">
        <f>+D1406</f>
        <v>56000000</v>
      </c>
      <c r="F1406" s="11"/>
      <c r="G1406" s="11"/>
      <c r="H1406" s="11"/>
      <c r="I1406" s="11"/>
      <c r="J1406" s="11"/>
      <c r="K1406" s="11"/>
      <c r="L1406" s="11">
        <f>+D1406</f>
        <v>56000000</v>
      </c>
      <c r="M1406" s="12"/>
      <c r="N1406" s="12"/>
      <c r="P1406" s="55"/>
      <c r="Q1406" s="55"/>
      <c r="R1406" s="14"/>
      <c r="S1406" s="14"/>
    </row>
    <row r="1407" spans="2:19" ht="12.95" hidden="1" customHeight="1" x14ac:dyDescent="0.25">
      <c r="B1407" s="16">
        <v>43209.083333333336</v>
      </c>
      <c r="C1407" s="50" t="s">
        <v>1354</v>
      </c>
      <c r="D1407" s="34"/>
      <c r="E1407" s="37">
        <v>8000000</v>
      </c>
      <c r="F1407" s="37"/>
      <c r="G1407" s="37">
        <f t="shared" ref="G1407:G1413" si="258">+E1407</f>
        <v>8000000</v>
      </c>
      <c r="H1407" s="64"/>
      <c r="I1407" s="64">
        <v>423960</v>
      </c>
      <c r="J1407" s="64">
        <v>68470.080000000002</v>
      </c>
      <c r="K1407" s="18">
        <f t="shared" ref="K1407:K1412" si="259">+G1407-H1407-I1407-J1407</f>
        <v>7507569.9199999999</v>
      </c>
      <c r="L1407" s="19">
        <f t="shared" ref="L1407:L1413" si="260">+L1406-G1407</f>
        <v>48000000</v>
      </c>
      <c r="M1407" s="20"/>
      <c r="N1407" s="20"/>
      <c r="O1407" s="81"/>
      <c r="P1407" s="55"/>
      <c r="Q1407" s="55"/>
      <c r="R1407" s="14"/>
      <c r="S1407" s="14"/>
    </row>
    <row r="1408" spans="2:19" ht="12.95" hidden="1" customHeight="1" x14ac:dyDescent="0.25">
      <c r="B1408" s="16">
        <v>43238.083333333336</v>
      </c>
      <c r="C1408" s="50" t="s">
        <v>1355</v>
      </c>
      <c r="D1408" s="34"/>
      <c r="E1408" s="37">
        <v>8000000</v>
      </c>
      <c r="F1408" s="37"/>
      <c r="G1408" s="37">
        <f t="shared" si="258"/>
        <v>8000000</v>
      </c>
      <c r="H1408" s="64"/>
      <c r="I1408" s="64">
        <v>423960</v>
      </c>
      <c r="J1408" s="64">
        <v>68470.080000000002</v>
      </c>
      <c r="K1408" s="18">
        <f t="shared" si="259"/>
        <v>7507569.9199999999</v>
      </c>
      <c r="L1408" s="19">
        <f t="shared" si="260"/>
        <v>40000000</v>
      </c>
      <c r="M1408" s="20"/>
      <c r="N1408" s="20"/>
      <c r="O1408" s="81"/>
      <c r="P1408" s="55"/>
      <c r="Q1408" s="55"/>
      <c r="R1408" s="14"/>
      <c r="S1408" s="14"/>
    </row>
    <row r="1409" spans="2:19" ht="12.95" hidden="1" customHeight="1" x14ac:dyDescent="0.25">
      <c r="B1409" s="16">
        <v>43287.083333333336</v>
      </c>
      <c r="C1409" s="50" t="s">
        <v>1356</v>
      </c>
      <c r="D1409" s="34"/>
      <c r="E1409" s="37">
        <v>8000000</v>
      </c>
      <c r="F1409" s="37"/>
      <c r="G1409" s="37">
        <f t="shared" si="258"/>
        <v>8000000</v>
      </c>
      <c r="H1409" s="64"/>
      <c r="I1409" s="64">
        <v>423960</v>
      </c>
      <c r="J1409" s="64">
        <v>68470.080000000002</v>
      </c>
      <c r="K1409" s="18">
        <f t="shared" si="259"/>
        <v>7507569.9199999999</v>
      </c>
      <c r="L1409" s="19">
        <f t="shared" si="260"/>
        <v>32000000</v>
      </c>
      <c r="M1409" s="20"/>
      <c r="N1409" s="20"/>
      <c r="P1409" s="55"/>
      <c r="Q1409" s="55"/>
      <c r="R1409" s="14"/>
      <c r="S1409" s="14"/>
    </row>
    <row r="1410" spans="2:19" ht="12.95" hidden="1" customHeight="1" x14ac:dyDescent="0.25">
      <c r="B1410" s="16">
        <v>43322.083333333336</v>
      </c>
      <c r="C1410" s="50" t="s">
        <v>1357</v>
      </c>
      <c r="D1410" s="34"/>
      <c r="E1410" s="37">
        <v>8000000</v>
      </c>
      <c r="F1410" s="37"/>
      <c r="G1410" s="37">
        <f t="shared" si="258"/>
        <v>8000000</v>
      </c>
      <c r="H1410" s="64"/>
      <c r="I1410" s="64">
        <v>423960</v>
      </c>
      <c r="J1410" s="64">
        <v>68470.080000000002</v>
      </c>
      <c r="K1410" s="18">
        <f t="shared" si="259"/>
        <v>7507569.9199999999</v>
      </c>
      <c r="L1410" s="19">
        <f t="shared" si="260"/>
        <v>24000000</v>
      </c>
      <c r="M1410" s="20"/>
      <c r="N1410" s="20"/>
      <c r="O1410" s="81"/>
      <c r="P1410" s="55"/>
      <c r="Q1410" s="55"/>
      <c r="R1410" s="14"/>
      <c r="S1410" s="14"/>
    </row>
    <row r="1411" spans="2:19" ht="12.95" hidden="1" customHeight="1" x14ac:dyDescent="0.25">
      <c r="B1411" s="16">
        <v>43339.083333333336</v>
      </c>
      <c r="C1411" s="50" t="s">
        <v>1358</v>
      </c>
      <c r="D1411" s="34"/>
      <c r="E1411" s="37">
        <v>8000000</v>
      </c>
      <c r="F1411" s="37"/>
      <c r="G1411" s="37">
        <f t="shared" si="258"/>
        <v>8000000</v>
      </c>
      <c r="H1411" s="64"/>
      <c r="I1411" s="64">
        <v>423960</v>
      </c>
      <c r="J1411" s="64">
        <v>68470.080000000002</v>
      </c>
      <c r="K1411" s="18">
        <f t="shared" si="259"/>
        <v>7507569.9199999999</v>
      </c>
      <c r="L1411" s="19">
        <f t="shared" si="260"/>
        <v>16000000</v>
      </c>
      <c r="M1411" s="20"/>
      <c r="N1411" s="20"/>
      <c r="O1411" s="81"/>
      <c r="P1411" s="55"/>
      <c r="Q1411" s="55"/>
      <c r="R1411" s="14"/>
      <c r="S1411" s="14"/>
    </row>
    <row r="1412" spans="2:19" ht="12.95" hidden="1" customHeight="1" x14ac:dyDescent="0.25">
      <c r="B1412" s="16">
        <v>43339.083333333336</v>
      </c>
      <c r="C1412" s="50" t="s">
        <v>1359</v>
      </c>
      <c r="D1412" s="34"/>
      <c r="E1412" s="37">
        <v>8000000</v>
      </c>
      <c r="F1412" s="37"/>
      <c r="G1412" s="37">
        <f t="shared" si="258"/>
        <v>8000000</v>
      </c>
      <c r="H1412" s="64"/>
      <c r="I1412" s="64">
        <v>423960</v>
      </c>
      <c r="J1412" s="64">
        <v>68470.080000000002</v>
      </c>
      <c r="K1412" s="18">
        <f t="shared" si="259"/>
        <v>7507569.9199999999</v>
      </c>
      <c r="L1412" s="19">
        <f t="shared" si="260"/>
        <v>8000000</v>
      </c>
      <c r="M1412" s="20"/>
      <c r="N1412" s="20"/>
      <c r="O1412" s="81">
        <f>+L1413-'[1]ANEXO 7 - PPTO VIG 2018'!T43</f>
        <v>0</v>
      </c>
      <c r="P1412" s="55"/>
      <c r="Q1412" s="55"/>
      <c r="R1412" s="14"/>
      <c r="S1412" s="14"/>
    </row>
    <row r="1413" spans="2:19" ht="12.95" hidden="1" customHeight="1" x14ac:dyDescent="0.25">
      <c r="B1413" s="16">
        <v>43476</v>
      </c>
      <c r="C1413" s="50" t="s">
        <v>1360</v>
      </c>
      <c r="D1413" s="34"/>
      <c r="E1413" s="37">
        <v>8000000</v>
      </c>
      <c r="F1413" s="37"/>
      <c r="G1413" s="37">
        <f t="shared" si="258"/>
        <v>8000000</v>
      </c>
      <c r="H1413" s="64"/>
      <c r="I1413" s="64">
        <v>388312</v>
      </c>
      <c r="J1413" s="64">
        <v>68470.080000000002</v>
      </c>
      <c r="K1413" s="18">
        <f>+G1413-H1413-I1413-J1413</f>
        <v>7543217.9199999999</v>
      </c>
      <c r="L1413" s="19">
        <f t="shared" si="260"/>
        <v>0</v>
      </c>
      <c r="M1413" s="20"/>
      <c r="N1413" s="20"/>
      <c r="O1413" s="81"/>
      <c r="P1413" s="55"/>
      <c r="Q1413" s="55"/>
      <c r="R1413" s="14"/>
      <c r="S1413" s="14"/>
    </row>
    <row r="1414" spans="2:19" ht="12.95" hidden="1" customHeight="1" x14ac:dyDescent="0.25">
      <c r="B1414" s="9" t="s">
        <v>1361</v>
      </c>
      <c r="C1414" s="10"/>
      <c r="D1414" s="11">
        <v>38500000</v>
      </c>
      <c r="E1414" s="11">
        <f>+D1414</f>
        <v>38500000</v>
      </c>
      <c r="F1414" s="11"/>
      <c r="G1414" s="11"/>
      <c r="H1414" s="11"/>
      <c r="I1414" s="11"/>
      <c r="J1414" s="11"/>
      <c r="K1414" s="11"/>
      <c r="L1414" s="11">
        <f>+D1414</f>
        <v>38500000</v>
      </c>
      <c r="M1414" s="12"/>
      <c r="N1414" s="12"/>
      <c r="P1414" s="55"/>
      <c r="Q1414" s="55"/>
      <c r="R1414" s="14"/>
      <c r="S1414" s="14"/>
    </row>
    <row r="1415" spans="2:19" ht="12.95" hidden="1" customHeight="1" x14ac:dyDescent="0.25">
      <c r="B1415" s="16">
        <v>43230</v>
      </c>
      <c r="C1415" s="50" t="s">
        <v>1362</v>
      </c>
      <c r="D1415" s="34"/>
      <c r="E1415" s="37">
        <v>5500000</v>
      </c>
      <c r="F1415" s="37"/>
      <c r="G1415" s="37">
        <v>5500000</v>
      </c>
      <c r="H1415" s="64"/>
      <c r="I1415" s="64">
        <v>144457.94</v>
      </c>
      <c r="J1415" s="64">
        <v>50473.5</v>
      </c>
      <c r="K1415" s="18">
        <f t="shared" ref="K1415:K1420" si="261">+G1415-H1415-I1415-J1415</f>
        <v>5305068.5599999996</v>
      </c>
      <c r="L1415" s="19">
        <f t="shared" ref="L1415:L1421" si="262">+L1414-G1415</f>
        <v>33000000</v>
      </c>
      <c r="M1415" s="20"/>
      <c r="N1415" s="20"/>
      <c r="O1415" s="81"/>
      <c r="P1415" s="55"/>
      <c r="Q1415" s="55"/>
      <c r="R1415" s="14"/>
      <c r="S1415" s="14"/>
    </row>
    <row r="1416" spans="2:19" ht="12.95" hidden="1" customHeight="1" x14ac:dyDescent="0.25">
      <c r="B1416" s="16">
        <v>43230</v>
      </c>
      <c r="C1416" s="50" t="s">
        <v>1363</v>
      </c>
      <c r="D1416" s="34"/>
      <c r="E1416" s="37">
        <v>5500000</v>
      </c>
      <c r="F1416" s="37"/>
      <c r="G1416" s="37">
        <v>5500000</v>
      </c>
      <c r="H1416" s="64"/>
      <c r="I1416" s="64">
        <v>141322.94</v>
      </c>
      <c r="J1416" s="64">
        <v>50473.5</v>
      </c>
      <c r="K1416" s="18">
        <f t="shared" si="261"/>
        <v>5308203.5599999996</v>
      </c>
      <c r="L1416" s="19">
        <f t="shared" si="262"/>
        <v>27500000</v>
      </c>
      <c r="M1416" s="20"/>
      <c r="N1416" s="20"/>
      <c r="O1416" s="81"/>
      <c r="P1416" s="55"/>
      <c r="Q1416" s="55"/>
      <c r="R1416" s="14"/>
      <c r="S1416" s="14"/>
    </row>
    <row r="1417" spans="2:19" ht="12.95" hidden="1" customHeight="1" x14ac:dyDescent="0.25">
      <c r="B1417" s="16">
        <v>43243.083333333336</v>
      </c>
      <c r="C1417" s="50" t="s">
        <v>1364</v>
      </c>
      <c r="D1417" s="34"/>
      <c r="E1417" s="37">
        <v>5500000</v>
      </c>
      <c r="F1417" s="37"/>
      <c r="G1417" s="37">
        <v>5500000</v>
      </c>
      <c r="H1417" s="64"/>
      <c r="I1417" s="64">
        <v>144457.94</v>
      </c>
      <c r="J1417" s="64">
        <v>50473.5</v>
      </c>
      <c r="K1417" s="18">
        <f t="shared" si="261"/>
        <v>5305068.5599999996</v>
      </c>
      <c r="L1417" s="19">
        <f t="shared" si="262"/>
        <v>22000000</v>
      </c>
      <c r="M1417" s="20"/>
      <c r="N1417" s="20"/>
      <c r="O1417" s="81"/>
      <c r="P1417" s="55"/>
      <c r="Q1417" s="55"/>
      <c r="R1417" s="14"/>
      <c r="S1417" s="14"/>
    </row>
    <row r="1418" spans="2:19" ht="12.95" hidden="1" customHeight="1" x14ac:dyDescent="0.25">
      <c r="B1418" s="16">
        <v>43259.083333333336</v>
      </c>
      <c r="C1418" s="50" t="s">
        <v>1365</v>
      </c>
      <c r="D1418" s="34"/>
      <c r="E1418" s="37">
        <v>5500000</v>
      </c>
      <c r="F1418" s="37"/>
      <c r="G1418" s="37">
        <v>5500000</v>
      </c>
      <c r="H1418" s="64"/>
      <c r="I1418" s="64">
        <v>144457.94</v>
      </c>
      <c r="J1418" s="64">
        <v>50473.5</v>
      </c>
      <c r="K1418" s="18">
        <f t="shared" si="261"/>
        <v>5305068.5599999996</v>
      </c>
      <c r="L1418" s="19">
        <f t="shared" si="262"/>
        <v>16500000</v>
      </c>
      <c r="M1418" s="20"/>
      <c r="N1418" s="20"/>
      <c r="O1418" s="81">
        <f>+L1421-'[1]ANEXO 7 - PPTO VIG 2018'!T23</f>
        <v>0</v>
      </c>
      <c r="P1418" s="55"/>
      <c r="Q1418" s="55"/>
      <c r="R1418" s="14"/>
      <c r="S1418" s="14"/>
    </row>
    <row r="1419" spans="2:19" ht="12.95" hidden="1" customHeight="1" x14ac:dyDescent="0.25">
      <c r="B1419" s="16">
        <v>43307.083333333336</v>
      </c>
      <c r="C1419" s="50" t="s">
        <v>1366</v>
      </c>
      <c r="D1419" s="34"/>
      <c r="E1419" s="37">
        <v>5500000</v>
      </c>
      <c r="F1419" s="37"/>
      <c r="G1419" s="37">
        <v>5500000</v>
      </c>
      <c r="H1419" s="64"/>
      <c r="I1419" s="64">
        <v>144457.94</v>
      </c>
      <c r="J1419" s="64">
        <v>50473.5</v>
      </c>
      <c r="K1419" s="18">
        <f t="shared" si="261"/>
        <v>5305068.5599999996</v>
      </c>
      <c r="L1419" s="19">
        <f t="shared" si="262"/>
        <v>11000000</v>
      </c>
      <c r="M1419" s="20"/>
      <c r="N1419" s="20"/>
      <c r="O1419" s="81"/>
      <c r="P1419" s="55"/>
      <c r="Q1419" s="55"/>
      <c r="R1419" s="14"/>
      <c r="S1419" s="14"/>
    </row>
    <row r="1420" spans="2:19" ht="12.95" hidden="1" customHeight="1" x14ac:dyDescent="0.25">
      <c r="B1420" s="16">
        <v>43339.083333333336</v>
      </c>
      <c r="C1420" s="50" t="s">
        <v>1367</v>
      </c>
      <c r="D1420" s="34"/>
      <c r="E1420" s="37">
        <v>5500000</v>
      </c>
      <c r="F1420" s="37"/>
      <c r="G1420" s="37">
        <v>5500000</v>
      </c>
      <c r="H1420" s="64"/>
      <c r="I1420" s="64">
        <v>144457.94</v>
      </c>
      <c r="J1420" s="64">
        <v>50473.5</v>
      </c>
      <c r="K1420" s="18">
        <f t="shared" si="261"/>
        <v>5305068.5599999996</v>
      </c>
      <c r="L1420" s="19">
        <f t="shared" si="262"/>
        <v>5500000</v>
      </c>
      <c r="M1420" s="20"/>
      <c r="N1420" s="20"/>
      <c r="O1420" s="81"/>
      <c r="P1420" s="55"/>
      <c r="Q1420" s="55"/>
      <c r="R1420" s="14"/>
      <c r="S1420" s="14"/>
    </row>
    <row r="1421" spans="2:19" ht="12.95" hidden="1" customHeight="1" x14ac:dyDescent="0.25">
      <c r="B1421" s="16">
        <v>43363.083333333336</v>
      </c>
      <c r="C1421" s="50" t="s">
        <v>1368</v>
      </c>
      <c r="D1421" s="34"/>
      <c r="E1421" s="37">
        <v>5500000</v>
      </c>
      <c r="F1421" s="37"/>
      <c r="G1421" s="37">
        <v>5500000</v>
      </c>
      <c r="H1421" s="64"/>
      <c r="I1421" s="37">
        <v>144457.94</v>
      </c>
      <c r="J1421" s="64">
        <v>50473.5</v>
      </c>
      <c r="K1421" s="18">
        <f>+G1421-H1421-I1421-J1421</f>
        <v>5305068.5599999996</v>
      </c>
      <c r="L1421" s="19">
        <f t="shared" si="262"/>
        <v>0</v>
      </c>
      <c r="M1421" s="20"/>
      <c r="N1421" s="20"/>
      <c r="O1421" s="81"/>
      <c r="P1421" s="55"/>
      <c r="Q1421" s="55"/>
      <c r="R1421" s="14"/>
      <c r="S1421" s="14"/>
    </row>
    <row r="1422" spans="2:19" ht="12.95" hidden="1" customHeight="1" x14ac:dyDescent="0.25">
      <c r="B1422" s="9" t="s">
        <v>1369</v>
      </c>
      <c r="C1422" s="10"/>
      <c r="D1422" s="11">
        <v>400000000</v>
      </c>
      <c r="E1422" s="11">
        <f>+D1422</f>
        <v>400000000</v>
      </c>
      <c r="F1422" s="11"/>
      <c r="G1422" s="11"/>
      <c r="H1422" s="11"/>
      <c r="I1422" s="11"/>
      <c r="J1422" s="11"/>
      <c r="K1422" s="11"/>
      <c r="L1422" s="11">
        <f>+D1422</f>
        <v>400000000</v>
      </c>
      <c r="M1422" s="12"/>
      <c r="N1422" s="12"/>
      <c r="P1422" s="55"/>
      <c r="Q1422" s="55"/>
      <c r="R1422" s="14"/>
      <c r="S1422" s="14"/>
    </row>
    <row r="1423" spans="2:19" ht="12.95" hidden="1" customHeight="1" x14ac:dyDescent="0.25">
      <c r="B1423" s="16">
        <v>43227</v>
      </c>
      <c r="C1423" s="50" t="s">
        <v>1370</v>
      </c>
      <c r="D1423" s="34"/>
      <c r="E1423" s="37">
        <v>100000000</v>
      </c>
      <c r="F1423" s="37"/>
      <c r="G1423" s="37">
        <f>+E1423</f>
        <v>100000000</v>
      </c>
      <c r="H1423" s="64">
        <v>0</v>
      </c>
      <c r="I1423" s="64">
        <v>0</v>
      </c>
      <c r="J1423" s="64">
        <v>0</v>
      </c>
      <c r="K1423" s="18">
        <f>+G1423-H1423-I1423-J1423</f>
        <v>100000000</v>
      </c>
      <c r="L1423" s="19">
        <f>+L1422-G1423</f>
        <v>300000000</v>
      </c>
      <c r="M1423" s="20"/>
      <c r="N1423" s="20"/>
      <c r="O1423" s="81"/>
      <c r="P1423" s="55"/>
      <c r="Q1423" s="55"/>
      <c r="R1423" s="14"/>
      <c r="S1423" s="14"/>
    </row>
    <row r="1424" spans="2:19" ht="12.95" hidden="1" customHeight="1" x14ac:dyDescent="0.25">
      <c r="B1424" s="16">
        <v>43277.083333333336</v>
      </c>
      <c r="C1424" s="50" t="s">
        <v>1371</v>
      </c>
      <c r="D1424" s="34"/>
      <c r="E1424" s="37">
        <v>100000000</v>
      </c>
      <c r="F1424" s="37"/>
      <c r="G1424" s="37">
        <f>+E1424</f>
        <v>100000000</v>
      </c>
      <c r="H1424" s="64">
        <v>0</v>
      </c>
      <c r="I1424" s="64">
        <v>0</v>
      </c>
      <c r="J1424" s="64">
        <v>0</v>
      </c>
      <c r="K1424" s="18">
        <f>+G1424-H1424-I1424-J1424</f>
        <v>100000000</v>
      </c>
      <c r="L1424" s="19">
        <f>+L1423-G1424</f>
        <v>200000000</v>
      </c>
      <c r="M1424" s="20"/>
      <c r="N1424" s="20"/>
      <c r="O1424" s="81"/>
      <c r="P1424" s="55"/>
      <c r="Q1424" s="55"/>
      <c r="R1424" s="14"/>
      <c r="S1424" s="14"/>
    </row>
    <row r="1425" spans="2:19" ht="12.95" hidden="1" customHeight="1" x14ac:dyDescent="0.25">
      <c r="B1425" s="16">
        <v>43293.083333333336</v>
      </c>
      <c r="C1425" s="50" t="s">
        <v>1372</v>
      </c>
      <c r="D1425" s="34"/>
      <c r="E1425" s="37">
        <v>200000000</v>
      </c>
      <c r="F1425" s="37"/>
      <c r="G1425" s="37">
        <f>+E1425</f>
        <v>200000000</v>
      </c>
      <c r="H1425" s="64">
        <v>0</v>
      </c>
      <c r="I1425" s="64">
        <v>0</v>
      </c>
      <c r="J1425" s="64">
        <v>0</v>
      </c>
      <c r="K1425" s="18">
        <f>+G1425-H1425-I1425-J1425</f>
        <v>200000000</v>
      </c>
      <c r="L1425" s="19">
        <f>+L1424-G1425</f>
        <v>0</v>
      </c>
      <c r="M1425" s="20"/>
      <c r="N1425" s="20"/>
      <c r="O1425" s="81">
        <f>+L1425-'[1]ANEXO 7 - PPTO VIG 2018'!T13</f>
        <v>0</v>
      </c>
      <c r="P1425" s="55"/>
      <c r="Q1425" s="55"/>
      <c r="R1425" s="14"/>
      <c r="S1425" s="14"/>
    </row>
    <row r="1426" spans="2:19" ht="12.95" hidden="1" customHeight="1" x14ac:dyDescent="0.25">
      <c r="B1426" s="9" t="s">
        <v>1373</v>
      </c>
      <c r="C1426" s="10"/>
      <c r="D1426" s="11">
        <v>973471804</v>
      </c>
      <c r="E1426" s="11">
        <f>+D1426</f>
        <v>973471804</v>
      </c>
      <c r="F1426" s="11"/>
      <c r="G1426" s="11"/>
      <c r="H1426" s="11"/>
      <c r="I1426" s="11"/>
      <c r="J1426" s="11"/>
      <c r="K1426" s="11"/>
      <c r="L1426" s="11">
        <f>+D1426</f>
        <v>973471804</v>
      </c>
      <c r="M1426" s="12"/>
      <c r="N1426" s="12"/>
      <c r="O1426" s="81"/>
      <c r="P1426" s="55"/>
      <c r="Q1426" s="55"/>
      <c r="R1426" s="14"/>
      <c r="S1426" s="14"/>
    </row>
    <row r="1427" spans="2:19" ht="12.95" hidden="1" customHeight="1" x14ac:dyDescent="0.25">
      <c r="B1427" s="16">
        <v>43307</v>
      </c>
      <c r="C1427" s="50" t="s">
        <v>1370</v>
      </c>
      <c r="D1427" s="34"/>
      <c r="E1427" s="37">
        <v>973471804</v>
      </c>
      <c r="F1427" s="37"/>
      <c r="G1427" s="37">
        <f>+E1427</f>
        <v>973471804</v>
      </c>
      <c r="H1427" s="64">
        <v>0</v>
      </c>
      <c r="I1427" s="64">
        <v>0</v>
      </c>
      <c r="J1427" s="64">
        <v>0</v>
      </c>
      <c r="K1427" s="18">
        <f>+G1427-H1427-I1427-J1427</f>
        <v>973471804</v>
      </c>
      <c r="L1427" s="19">
        <f>+L1426-G1427</f>
        <v>0</v>
      </c>
      <c r="M1427" s="20"/>
      <c r="N1427" s="20"/>
      <c r="O1427" s="81">
        <f>+L1427-'[1]ANEXO 7 - PPTO VIG 2018'!T54</f>
        <v>0</v>
      </c>
      <c r="P1427" s="55"/>
      <c r="Q1427" s="55"/>
      <c r="R1427" s="14"/>
      <c r="S1427" s="14"/>
    </row>
    <row r="1428" spans="2:19" ht="12.95" hidden="1" customHeight="1" x14ac:dyDescent="0.25">
      <c r="B1428" s="9" t="s">
        <v>1374</v>
      </c>
      <c r="C1428" s="10"/>
      <c r="D1428" s="11">
        <v>700000000</v>
      </c>
      <c r="E1428" s="11">
        <f>+D1428</f>
        <v>700000000</v>
      </c>
      <c r="F1428" s="11"/>
      <c r="G1428" s="11"/>
      <c r="H1428" s="11"/>
      <c r="I1428" s="11"/>
      <c r="J1428" s="11"/>
      <c r="K1428" s="11"/>
      <c r="L1428" s="11">
        <f>+D1428</f>
        <v>700000000</v>
      </c>
      <c r="M1428" s="12"/>
      <c r="N1428" s="12"/>
      <c r="P1428" s="55"/>
      <c r="Q1428" s="55"/>
      <c r="R1428" s="14"/>
      <c r="S1428" s="14"/>
    </row>
    <row r="1429" spans="2:19" ht="12.75" hidden="1" customHeight="1" x14ac:dyDescent="0.25">
      <c r="B1429" s="16">
        <v>43320.083333333336</v>
      </c>
      <c r="C1429" s="50" t="s">
        <v>1375</v>
      </c>
      <c r="D1429" s="34"/>
      <c r="E1429" s="37">
        <v>175000000</v>
      </c>
      <c r="F1429" s="37"/>
      <c r="G1429" s="37">
        <f>+E1429</f>
        <v>175000000</v>
      </c>
      <c r="H1429" s="64"/>
      <c r="I1429" s="64"/>
      <c r="J1429" s="64"/>
      <c r="K1429" s="18">
        <f>+G1429-H1429-I1429-J1429</f>
        <v>175000000</v>
      </c>
      <c r="L1429" s="19">
        <f>+L1428-G1429</f>
        <v>525000000</v>
      </c>
      <c r="M1429" s="20"/>
      <c r="N1429" s="20"/>
      <c r="O1429" s="81">
        <f>+L1431-'[1]ANEXO 7 - PPTO VIG 2018'!T24</f>
        <v>0</v>
      </c>
      <c r="P1429" s="55"/>
      <c r="Q1429" s="55"/>
      <c r="R1429" s="14"/>
      <c r="S1429" s="14"/>
    </row>
    <row r="1430" spans="2:19" ht="12.75" hidden="1" customHeight="1" x14ac:dyDescent="0.25">
      <c r="B1430" s="16">
        <v>43563.083333333336</v>
      </c>
      <c r="C1430" s="50" t="s">
        <v>1376</v>
      </c>
      <c r="D1430" s="34"/>
      <c r="E1430" s="37">
        <v>350000000</v>
      </c>
      <c r="F1430" s="37"/>
      <c r="G1430" s="37">
        <f>+E1430</f>
        <v>350000000</v>
      </c>
      <c r="H1430" s="64"/>
      <c r="I1430" s="64"/>
      <c r="J1430" s="64"/>
      <c r="K1430" s="18">
        <f>+G1430-H1430-I1430-J1430</f>
        <v>350000000</v>
      </c>
      <c r="L1430" s="19">
        <f>+L1429-G1430</f>
        <v>175000000</v>
      </c>
      <c r="M1430" s="20"/>
      <c r="N1430" s="20"/>
      <c r="O1430" s="81"/>
      <c r="P1430" s="55"/>
      <c r="Q1430" s="55"/>
      <c r="R1430" s="14"/>
      <c r="S1430" s="14"/>
    </row>
    <row r="1431" spans="2:19" ht="12.75" hidden="1" customHeight="1" x14ac:dyDescent="0.25">
      <c r="B1431" s="16">
        <v>43609.083333333336</v>
      </c>
      <c r="C1431" s="50" t="s">
        <v>1377</v>
      </c>
      <c r="D1431" s="34"/>
      <c r="E1431" s="37">
        <v>175000000</v>
      </c>
      <c r="F1431" s="37"/>
      <c r="G1431" s="37">
        <f>+E1431</f>
        <v>175000000</v>
      </c>
      <c r="H1431" s="64"/>
      <c r="I1431" s="64"/>
      <c r="J1431" s="64"/>
      <c r="K1431" s="18">
        <f>+G1431-H1431-I1431-J1431</f>
        <v>175000000</v>
      </c>
      <c r="L1431" s="19">
        <f>+L1430-G1431</f>
        <v>0</v>
      </c>
      <c r="M1431" s="20"/>
      <c r="N1431" s="20"/>
      <c r="O1431" s="81"/>
      <c r="P1431" s="55"/>
      <c r="Q1431" s="55"/>
      <c r="R1431" s="14"/>
      <c r="S1431" s="14"/>
    </row>
    <row r="1432" spans="2:19" ht="12.75" hidden="1" customHeight="1" x14ac:dyDescent="0.25">
      <c r="B1432" s="9" t="s">
        <v>1378</v>
      </c>
      <c r="C1432" s="10"/>
      <c r="D1432" s="11">
        <v>1500000000</v>
      </c>
      <c r="E1432" s="11">
        <f>+D1432</f>
        <v>1500000000</v>
      </c>
      <c r="F1432" s="11"/>
      <c r="G1432" s="11"/>
      <c r="H1432" s="11"/>
      <c r="I1432" s="86"/>
      <c r="J1432" s="11"/>
      <c r="K1432" s="11"/>
      <c r="L1432" s="11">
        <f>+D1432</f>
        <v>1500000000</v>
      </c>
      <c r="M1432" s="12"/>
      <c r="N1432" s="12"/>
      <c r="P1432" s="55"/>
      <c r="Q1432" s="55"/>
      <c r="R1432" s="14"/>
      <c r="S1432" s="14"/>
    </row>
    <row r="1433" spans="2:19" ht="12.75" hidden="1" customHeight="1" x14ac:dyDescent="0.25">
      <c r="B1433" s="16">
        <v>43347.083333333336</v>
      </c>
      <c r="C1433" s="50" t="s">
        <v>1379</v>
      </c>
      <c r="D1433" s="34"/>
      <c r="E1433" s="37">
        <v>600000000</v>
      </c>
      <c r="F1433" s="37"/>
      <c r="G1433" s="37">
        <f>+E1433</f>
        <v>600000000</v>
      </c>
      <c r="H1433" s="64"/>
      <c r="I1433" s="37"/>
      <c r="J1433" s="64"/>
      <c r="K1433" s="18">
        <f>+G1433-H1433-I1433-J1433</f>
        <v>600000000</v>
      </c>
      <c r="L1433" s="19">
        <f>+L1432-G1433</f>
        <v>900000000</v>
      </c>
      <c r="M1433" s="20"/>
      <c r="N1433" s="20"/>
      <c r="O1433" s="81">
        <f>+L1435-'[1]ANEXO 7 - PPTO VIG 2018'!T14</f>
        <v>0</v>
      </c>
      <c r="P1433" s="55"/>
      <c r="Q1433" s="55"/>
      <c r="R1433" s="14"/>
      <c r="S1433" s="14"/>
    </row>
    <row r="1434" spans="2:19" ht="12.75" hidden="1" customHeight="1" x14ac:dyDescent="0.25">
      <c r="B1434" s="16">
        <v>43445.125</v>
      </c>
      <c r="C1434" s="50" t="s">
        <v>1380</v>
      </c>
      <c r="D1434" s="34"/>
      <c r="E1434" s="37">
        <v>600000000</v>
      </c>
      <c r="F1434" s="37"/>
      <c r="G1434" s="37">
        <f>+E1434</f>
        <v>600000000</v>
      </c>
      <c r="H1434" s="64"/>
      <c r="I1434" s="37"/>
      <c r="J1434" s="64"/>
      <c r="K1434" s="18">
        <f>+G1434-H1434-I1434-J1434</f>
        <v>600000000</v>
      </c>
      <c r="L1434" s="19">
        <f>+L1433-G1434</f>
        <v>300000000</v>
      </c>
      <c r="M1434" s="20"/>
      <c r="N1434" s="20"/>
      <c r="O1434" s="81"/>
      <c r="P1434" s="55"/>
      <c r="Q1434" s="55"/>
      <c r="R1434" s="14"/>
      <c r="S1434" s="14"/>
    </row>
    <row r="1435" spans="2:19" ht="12.75" hidden="1" customHeight="1" x14ac:dyDescent="0.25">
      <c r="B1435" s="16">
        <v>43494.125</v>
      </c>
      <c r="C1435" s="50" t="s">
        <v>1381</v>
      </c>
      <c r="D1435" s="34"/>
      <c r="E1435" s="37">
        <v>300000000</v>
      </c>
      <c r="F1435" s="37"/>
      <c r="G1435" s="37">
        <f>+E1435</f>
        <v>300000000</v>
      </c>
      <c r="H1435" s="64"/>
      <c r="I1435" s="37"/>
      <c r="J1435" s="64"/>
      <c r="K1435" s="18">
        <f>+G1435-H1435-I1435-J1435</f>
        <v>300000000</v>
      </c>
      <c r="L1435" s="19">
        <f>+L1434-G1435</f>
        <v>0</v>
      </c>
      <c r="M1435" s="20"/>
      <c r="N1435" s="20"/>
      <c r="O1435" s="81"/>
      <c r="P1435" s="55"/>
      <c r="Q1435" s="55"/>
      <c r="R1435" s="14"/>
      <c r="S1435" s="14"/>
    </row>
    <row r="1436" spans="2:19" ht="12.95" hidden="1" customHeight="1" x14ac:dyDescent="0.25">
      <c r="B1436" s="9" t="s">
        <v>1382</v>
      </c>
      <c r="C1436" s="10"/>
      <c r="D1436" s="11">
        <v>9800000</v>
      </c>
      <c r="E1436" s="11">
        <f>+D1436</f>
        <v>9800000</v>
      </c>
      <c r="F1436" s="11"/>
      <c r="G1436" s="11"/>
      <c r="H1436" s="11"/>
      <c r="I1436" s="11"/>
      <c r="J1436" s="11"/>
      <c r="K1436" s="11"/>
      <c r="L1436" s="11">
        <f>+D1436</f>
        <v>9800000</v>
      </c>
      <c r="M1436" s="12"/>
      <c r="N1436" s="12"/>
      <c r="P1436" s="55"/>
      <c r="Q1436" s="55"/>
      <c r="R1436" s="14"/>
      <c r="S1436" s="14"/>
    </row>
    <row r="1437" spans="2:19" ht="12.95" hidden="1" customHeight="1" x14ac:dyDescent="0.25">
      <c r="B1437" s="16">
        <v>43395.083333333336</v>
      </c>
      <c r="C1437" s="50" t="s">
        <v>1383</v>
      </c>
      <c r="D1437" s="34"/>
      <c r="E1437" s="37">
        <v>933333</v>
      </c>
      <c r="F1437" s="37"/>
      <c r="G1437" s="37">
        <f>+E1437</f>
        <v>933333</v>
      </c>
      <c r="H1437" s="64"/>
      <c r="I1437" s="64">
        <v>0</v>
      </c>
      <c r="J1437" s="64">
        <v>7988.17</v>
      </c>
      <c r="K1437" s="18">
        <f>+G1437-H1437-I1437-J1437</f>
        <v>925344.83</v>
      </c>
      <c r="L1437" s="19">
        <f>+L1436-G1437</f>
        <v>8866667</v>
      </c>
      <c r="M1437" s="20"/>
      <c r="N1437" s="20"/>
      <c r="P1437" s="55"/>
      <c r="Q1437" s="55"/>
      <c r="R1437" s="14"/>
      <c r="S1437" s="14"/>
    </row>
    <row r="1438" spans="2:19" ht="12.95" hidden="1" customHeight="1" x14ac:dyDescent="0.25">
      <c r="B1438" s="16">
        <v>43417.125</v>
      </c>
      <c r="C1438" s="50" t="s">
        <v>1384</v>
      </c>
      <c r="D1438" s="34"/>
      <c r="E1438" s="37">
        <v>2800000</v>
      </c>
      <c r="F1438" s="37"/>
      <c r="G1438" s="37">
        <f>+E1438</f>
        <v>2800000</v>
      </c>
      <c r="H1438" s="64"/>
      <c r="I1438" s="64">
        <v>0</v>
      </c>
      <c r="J1438" s="64">
        <v>23964.53</v>
      </c>
      <c r="K1438" s="18">
        <f>+G1438-H1438-I1438-J1438</f>
        <v>2776035.47</v>
      </c>
      <c r="L1438" s="19">
        <f>+L1437-G1438</f>
        <v>6066667</v>
      </c>
      <c r="M1438" s="20"/>
      <c r="N1438" s="20"/>
      <c r="O1438" s="81"/>
      <c r="P1438" s="55"/>
      <c r="Q1438" s="55"/>
      <c r="R1438" s="14"/>
      <c r="S1438" s="14"/>
    </row>
    <row r="1439" spans="2:19" ht="12.95" hidden="1" customHeight="1" x14ac:dyDescent="0.25">
      <c r="B1439" s="16">
        <v>43445.125</v>
      </c>
      <c r="C1439" s="50" t="s">
        <v>1385</v>
      </c>
      <c r="D1439" s="34"/>
      <c r="E1439" s="37">
        <v>2800000</v>
      </c>
      <c r="F1439" s="37"/>
      <c r="G1439" s="37">
        <f>+E1439</f>
        <v>2800000</v>
      </c>
      <c r="H1439" s="64"/>
      <c r="I1439" s="64">
        <v>0</v>
      </c>
      <c r="J1439" s="64">
        <v>23964.53</v>
      </c>
      <c r="K1439" s="18">
        <f>+G1439-H1439-I1439-J1439</f>
        <v>2776035.47</v>
      </c>
      <c r="L1439" s="19">
        <f>+L1438-G1439</f>
        <v>3266667</v>
      </c>
      <c r="M1439" s="20"/>
      <c r="N1439" s="20"/>
      <c r="O1439" s="81"/>
      <c r="P1439" s="55"/>
      <c r="Q1439" s="55"/>
      <c r="R1439" s="14"/>
      <c r="S1439" s="14"/>
    </row>
    <row r="1440" spans="2:19" ht="12.95" hidden="1" customHeight="1" x14ac:dyDescent="0.25">
      <c r="B1440" s="16">
        <v>43488.125</v>
      </c>
      <c r="C1440" s="50" t="s">
        <v>1386</v>
      </c>
      <c r="D1440" s="34"/>
      <c r="E1440" s="37">
        <v>2800000</v>
      </c>
      <c r="F1440" s="37"/>
      <c r="G1440" s="37">
        <f>+E1440</f>
        <v>2800000</v>
      </c>
      <c r="H1440" s="64"/>
      <c r="I1440" s="64">
        <v>0</v>
      </c>
      <c r="J1440" s="64">
        <v>0</v>
      </c>
      <c r="K1440" s="18">
        <f>+G1440-H1440-I1440-J1440</f>
        <v>2800000</v>
      </c>
      <c r="L1440" s="19">
        <f>+L1439-G1440</f>
        <v>466667</v>
      </c>
      <c r="M1440" s="20"/>
      <c r="N1440" s="20"/>
      <c r="O1440" s="81"/>
      <c r="P1440" s="55"/>
      <c r="Q1440" s="55"/>
      <c r="R1440" s="14"/>
      <c r="S1440" s="14"/>
    </row>
    <row r="1441" spans="2:19" ht="12.95" hidden="1" customHeight="1" x14ac:dyDescent="0.25">
      <c r="B1441" s="16">
        <v>43488.125</v>
      </c>
      <c r="C1441" s="50" t="s">
        <v>654</v>
      </c>
      <c r="D1441" s="34"/>
      <c r="E1441" s="81">
        <f>+L1440-'[1]ANEXO 7 - PPTO VIG 2018'!T94</f>
        <v>466667</v>
      </c>
      <c r="F1441" s="37"/>
      <c r="G1441" s="37"/>
      <c r="H1441" s="64"/>
      <c r="I1441" s="64">
        <v>0</v>
      </c>
      <c r="J1441" s="64">
        <v>0</v>
      </c>
      <c r="K1441" s="18">
        <v>0</v>
      </c>
      <c r="L1441" s="19">
        <f>+L1440-E1441</f>
        <v>0</v>
      </c>
      <c r="M1441" s="20"/>
      <c r="N1441" s="20"/>
      <c r="O1441" s="81">
        <f>+L1441-'[1]ANEXO 7 - PPTO VIG 2018'!T94</f>
        <v>0</v>
      </c>
      <c r="P1441" s="55"/>
      <c r="Q1441" s="55"/>
      <c r="R1441" s="14"/>
      <c r="S1441" s="14"/>
    </row>
    <row r="1442" spans="2:19" ht="12.95" hidden="1" customHeight="1" x14ac:dyDescent="0.25">
      <c r="B1442" s="9" t="s">
        <v>1387</v>
      </c>
      <c r="C1442" s="10"/>
      <c r="D1442" s="11">
        <v>36000000</v>
      </c>
      <c r="E1442" s="11">
        <f>+D1442</f>
        <v>36000000</v>
      </c>
      <c r="F1442" s="11"/>
      <c r="G1442" s="11"/>
      <c r="H1442" s="11"/>
      <c r="I1442" s="11"/>
      <c r="J1442" s="11"/>
      <c r="K1442" s="11"/>
      <c r="L1442" s="11">
        <f>+D1442</f>
        <v>36000000</v>
      </c>
      <c r="M1442" s="12"/>
      <c r="N1442" s="12"/>
      <c r="P1442" s="55"/>
      <c r="Q1442" s="55"/>
      <c r="R1442" s="14"/>
      <c r="S1442" s="14"/>
    </row>
    <row r="1443" spans="2:19" ht="12.95" hidden="1" customHeight="1" x14ac:dyDescent="0.25">
      <c r="B1443" s="16">
        <v>43395.083333333336</v>
      </c>
      <c r="C1443" s="50" t="s">
        <v>1388</v>
      </c>
      <c r="D1443" s="34"/>
      <c r="E1443" s="37">
        <v>2000000</v>
      </c>
      <c r="F1443" s="37"/>
      <c r="G1443" s="37">
        <f t="shared" ref="G1443:G1448" si="263">+E1443</f>
        <v>2000000</v>
      </c>
      <c r="H1443" s="64"/>
      <c r="I1443" s="64">
        <v>0</v>
      </c>
      <c r="J1443" s="64">
        <v>17117.52</v>
      </c>
      <c r="K1443" s="18">
        <f t="shared" ref="K1443:K1448" si="264">+G1443-H1443-I1443-J1443</f>
        <v>1982882.48</v>
      </c>
      <c r="L1443" s="19">
        <f t="shared" ref="L1443:L1448" si="265">+L1442-G1443</f>
        <v>34000000</v>
      </c>
      <c r="M1443" s="20"/>
      <c r="N1443" s="20"/>
      <c r="O1443" s="81">
        <f>+L1449-'[1]ANEXO 7 - PPTO VIG 2018'!T77</f>
        <v>0</v>
      </c>
      <c r="P1443" s="55"/>
      <c r="Q1443" s="55"/>
      <c r="R1443" s="14"/>
      <c r="S1443" s="14"/>
    </row>
    <row r="1444" spans="2:19" ht="12.95" hidden="1" customHeight="1" x14ac:dyDescent="0.25">
      <c r="B1444" s="16">
        <v>43418.125</v>
      </c>
      <c r="C1444" s="50" t="s">
        <v>1389</v>
      </c>
      <c r="D1444" s="34"/>
      <c r="E1444" s="37">
        <v>6000000</v>
      </c>
      <c r="F1444" s="37"/>
      <c r="G1444" s="37">
        <f t="shared" si="263"/>
        <v>6000000</v>
      </c>
      <c r="H1444" s="64"/>
      <c r="I1444" s="64">
        <v>71768.72</v>
      </c>
      <c r="J1444" s="64">
        <v>51352.56</v>
      </c>
      <c r="K1444" s="18">
        <f t="shared" si="264"/>
        <v>5876878.7200000007</v>
      </c>
      <c r="L1444" s="19">
        <f t="shared" si="265"/>
        <v>28000000</v>
      </c>
      <c r="M1444" s="20"/>
      <c r="N1444" s="20"/>
      <c r="O1444" s="81"/>
      <c r="P1444" s="55"/>
      <c r="Q1444" s="55"/>
      <c r="R1444" s="14"/>
      <c r="S1444" s="14"/>
    </row>
    <row r="1445" spans="2:19" ht="12.95" hidden="1" customHeight="1" x14ac:dyDescent="0.25">
      <c r="B1445" s="16">
        <v>43446.125</v>
      </c>
      <c r="C1445" s="50" t="s">
        <v>1390</v>
      </c>
      <c r="D1445" s="34"/>
      <c r="E1445" s="37">
        <v>2613418</v>
      </c>
      <c r="F1445" s="37"/>
      <c r="G1445" s="37">
        <f t="shared" si="263"/>
        <v>2613418</v>
      </c>
      <c r="H1445" s="64"/>
      <c r="I1445" s="64">
        <v>0</v>
      </c>
      <c r="J1445" s="64">
        <v>0</v>
      </c>
      <c r="K1445" s="18">
        <f t="shared" si="264"/>
        <v>2613418</v>
      </c>
      <c r="L1445" s="19">
        <f t="shared" si="265"/>
        <v>25386582</v>
      </c>
      <c r="M1445" s="20"/>
      <c r="N1445" s="20"/>
      <c r="O1445" s="81"/>
      <c r="P1445" s="55"/>
      <c r="Q1445" s="55"/>
      <c r="R1445" s="14"/>
      <c r="S1445" s="14"/>
    </row>
    <row r="1446" spans="2:19" ht="12.95" hidden="1" customHeight="1" x14ac:dyDescent="0.25">
      <c r="B1446" s="16">
        <v>43452.125</v>
      </c>
      <c r="C1446" s="50" t="s">
        <v>1391</v>
      </c>
      <c r="D1446" s="34"/>
      <c r="E1446" s="37">
        <v>6000000</v>
      </c>
      <c r="F1446" s="37"/>
      <c r="G1446" s="37">
        <f t="shared" si="263"/>
        <v>6000000</v>
      </c>
      <c r="H1446" s="64"/>
      <c r="I1446" s="64">
        <v>71768.72</v>
      </c>
      <c r="J1446" s="64">
        <v>51352.56</v>
      </c>
      <c r="K1446" s="18">
        <f t="shared" si="264"/>
        <v>5876878.7200000007</v>
      </c>
      <c r="L1446" s="19">
        <f t="shared" si="265"/>
        <v>19386582</v>
      </c>
      <c r="M1446" s="20"/>
      <c r="N1446" s="20"/>
      <c r="O1446" s="81"/>
      <c r="P1446" s="55"/>
      <c r="Q1446" s="55"/>
      <c r="R1446" s="14"/>
      <c r="S1446" s="14"/>
    </row>
    <row r="1447" spans="2:19" ht="12.95" hidden="1" customHeight="1" x14ac:dyDescent="0.25">
      <c r="B1447" s="16">
        <v>43468.125</v>
      </c>
      <c r="C1447" s="50" t="s">
        <v>1392</v>
      </c>
      <c r="D1447" s="34"/>
      <c r="E1447" s="37">
        <v>3382004</v>
      </c>
      <c r="F1447" s="37"/>
      <c r="G1447" s="37">
        <f t="shared" si="263"/>
        <v>3382004</v>
      </c>
      <c r="H1447" s="64"/>
      <c r="I1447" s="64"/>
      <c r="J1447" s="64"/>
      <c r="K1447" s="18">
        <f t="shared" si="264"/>
        <v>3382004</v>
      </c>
      <c r="L1447" s="19">
        <f t="shared" si="265"/>
        <v>16004578</v>
      </c>
      <c r="M1447" s="20"/>
      <c r="N1447" s="20"/>
      <c r="O1447" s="81"/>
      <c r="P1447" s="55"/>
      <c r="Q1447" s="55"/>
      <c r="R1447" s="14"/>
      <c r="S1447" s="14"/>
    </row>
    <row r="1448" spans="2:19" ht="12.95" hidden="1" customHeight="1" x14ac:dyDescent="0.25">
      <c r="B1448" s="16">
        <v>43473.125</v>
      </c>
      <c r="C1448" s="50" t="s">
        <v>1393</v>
      </c>
      <c r="D1448" s="34"/>
      <c r="E1448" s="37">
        <v>6000000</v>
      </c>
      <c r="F1448" s="37"/>
      <c r="G1448" s="37">
        <f t="shared" si="263"/>
        <v>6000000</v>
      </c>
      <c r="H1448" s="64"/>
      <c r="I1448" s="64">
        <v>51661</v>
      </c>
      <c r="J1448" s="64">
        <v>51352.56</v>
      </c>
      <c r="K1448" s="18">
        <f t="shared" si="264"/>
        <v>5896986.4400000004</v>
      </c>
      <c r="L1448" s="19">
        <f t="shared" si="265"/>
        <v>10004578</v>
      </c>
      <c r="M1448" s="20"/>
      <c r="N1448" s="20"/>
      <c r="O1448" s="81"/>
      <c r="P1448" s="55"/>
      <c r="Q1448" s="55"/>
      <c r="R1448" s="14"/>
      <c r="S1448" s="14"/>
    </row>
    <row r="1449" spans="2:19" ht="12.95" hidden="1" customHeight="1" x14ac:dyDescent="0.25">
      <c r="B1449" s="16">
        <v>43473.125</v>
      </c>
      <c r="C1449" s="50" t="s">
        <v>654</v>
      </c>
      <c r="D1449" s="34"/>
      <c r="E1449" s="37">
        <v>10004578</v>
      </c>
      <c r="F1449" s="37"/>
      <c r="G1449" s="37"/>
      <c r="H1449" s="64"/>
      <c r="I1449" s="64"/>
      <c r="J1449" s="64"/>
      <c r="K1449" s="18"/>
      <c r="L1449" s="19">
        <f>+L1448-E1449</f>
        <v>0</v>
      </c>
      <c r="M1449" s="20"/>
      <c r="N1449" s="20"/>
      <c r="O1449" s="81"/>
      <c r="P1449" s="55"/>
      <c r="Q1449" s="55"/>
      <c r="R1449" s="14"/>
      <c r="S1449" s="14"/>
    </row>
    <row r="1450" spans="2:19" ht="12.95" hidden="1" customHeight="1" x14ac:dyDescent="0.25">
      <c r="B1450" s="9" t="s">
        <v>1394</v>
      </c>
      <c r="C1450" s="10"/>
      <c r="D1450" s="11">
        <v>39500000</v>
      </c>
      <c r="E1450" s="11">
        <f>+D1450</f>
        <v>39500000</v>
      </c>
      <c r="F1450" s="11"/>
      <c r="G1450" s="11"/>
      <c r="H1450" s="11"/>
      <c r="I1450" s="11"/>
      <c r="J1450" s="11"/>
      <c r="K1450" s="11"/>
      <c r="L1450" s="11">
        <f>+D1450</f>
        <v>39500000</v>
      </c>
      <c r="M1450" s="12"/>
      <c r="N1450" s="12"/>
      <c r="P1450" s="55"/>
      <c r="Q1450" s="55"/>
      <c r="R1450" s="14"/>
      <c r="S1450" s="14"/>
    </row>
    <row r="1451" spans="2:19" ht="12.95" hidden="1" customHeight="1" x14ac:dyDescent="0.25">
      <c r="B1451" s="16">
        <v>43398.083333333336</v>
      </c>
      <c r="C1451" s="50" t="s">
        <v>1395</v>
      </c>
      <c r="D1451" s="34"/>
      <c r="E1451" s="37">
        <v>1166667</v>
      </c>
      <c r="F1451" s="37"/>
      <c r="G1451" s="37">
        <f>+E1451</f>
        <v>1166667</v>
      </c>
      <c r="H1451" s="64"/>
      <c r="I1451" s="64">
        <v>0</v>
      </c>
      <c r="J1451" s="64">
        <v>9985.2199999999993</v>
      </c>
      <c r="K1451" s="18">
        <f>+G1451-H1451-I1451-J1451</f>
        <v>1156681.78</v>
      </c>
      <c r="L1451" s="19">
        <f>+L1450-G1451</f>
        <v>38333333</v>
      </c>
      <c r="M1451" s="20"/>
      <c r="N1451" s="20"/>
      <c r="O1451" s="81">
        <f>+L1456-'[1]ANEXO 7 - PPTO VIG 2018'!T78</f>
        <v>0</v>
      </c>
      <c r="P1451" s="55"/>
      <c r="Q1451" s="55"/>
      <c r="R1451" s="14"/>
      <c r="S1451" s="14"/>
    </row>
    <row r="1452" spans="2:19" ht="12.75" hidden="1" customHeight="1" x14ac:dyDescent="0.25">
      <c r="B1452" s="16">
        <v>43417.125</v>
      </c>
      <c r="C1452" s="50" t="s">
        <v>1396</v>
      </c>
      <c r="D1452" s="34"/>
      <c r="E1452" s="37">
        <v>7000000</v>
      </c>
      <c r="F1452" s="37"/>
      <c r="G1452" s="37">
        <f>+E1452</f>
        <v>7000000</v>
      </c>
      <c r="H1452" s="64"/>
      <c r="I1452" s="64">
        <v>183474.46</v>
      </c>
      <c r="J1452" s="64">
        <v>59911.32</v>
      </c>
      <c r="K1452" s="18">
        <f>+G1452-H1452-I1452-J1452</f>
        <v>6756614.2199999997</v>
      </c>
      <c r="L1452" s="19">
        <f>+L1451-G1452</f>
        <v>31333333</v>
      </c>
      <c r="M1452" s="20"/>
      <c r="N1452" s="20"/>
      <c r="O1452" s="81"/>
      <c r="P1452" s="55"/>
      <c r="Q1452" s="55"/>
      <c r="R1452" s="14"/>
      <c r="S1452" s="14"/>
    </row>
    <row r="1453" spans="2:19" ht="12.75" hidden="1" customHeight="1" x14ac:dyDescent="0.25">
      <c r="B1453" s="16">
        <v>43445.125</v>
      </c>
      <c r="C1453" s="50" t="s">
        <v>1397</v>
      </c>
      <c r="D1453" s="34"/>
      <c r="E1453" s="37">
        <v>7000000</v>
      </c>
      <c r="F1453" s="37"/>
      <c r="G1453" s="37">
        <f>+E1453</f>
        <v>7000000</v>
      </c>
      <c r="H1453" s="64"/>
      <c r="I1453" s="64">
        <v>183474.46</v>
      </c>
      <c r="J1453" s="64">
        <v>59911.32</v>
      </c>
      <c r="K1453" s="18">
        <f>+G1453-H1453-I1453-J1453</f>
        <v>6756614.2199999997</v>
      </c>
      <c r="L1453" s="19">
        <f>+L1452-G1453</f>
        <v>24333333</v>
      </c>
      <c r="M1453" s="20"/>
      <c r="N1453" s="20"/>
      <c r="O1453" s="81"/>
      <c r="P1453" s="55"/>
      <c r="Q1453" s="55"/>
      <c r="R1453" s="14"/>
      <c r="S1453" s="14"/>
    </row>
    <row r="1454" spans="2:19" ht="12.95" hidden="1" customHeight="1" x14ac:dyDescent="0.25">
      <c r="B1454" s="16">
        <v>43445.125</v>
      </c>
      <c r="C1454" s="50" t="s">
        <v>1398</v>
      </c>
      <c r="D1454" s="34"/>
      <c r="E1454" s="37">
        <v>807814</v>
      </c>
      <c r="F1454" s="37"/>
      <c r="G1454" s="37">
        <f>+E1454</f>
        <v>807814</v>
      </c>
      <c r="H1454" s="64"/>
      <c r="I1454" s="64">
        <v>0</v>
      </c>
      <c r="J1454" s="64">
        <v>0</v>
      </c>
      <c r="K1454" s="18">
        <f>+G1454-H1454-I1454-J1454</f>
        <v>807814</v>
      </c>
      <c r="L1454" s="19">
        <f>+L1453-G1454</f>
        <v>23525519</v>
      </c>
      <c r="M1454" s="20"/>
      <c r="N1454" s="20"/>
      <c r="O1454" s="81"/>
      <c r="P1454" s="55"/>
      <c r="Q1454" s="55"/>
      <c r="R1454" s="14"/>
      <c r="S1454" s="14"/>
    </row>
    <row r="1455" spans="2:19" ht="12.75" hidden="1" customHeight="1" x14ac:dyDescent="0.25">
      <c r="B1455" s="16">
        <v>43469.125</v>
      </c>
      <c r="C1455" s="50" t="s">
        <v>1399</v>
      </c>
      <c r="D1455" s="34"/>
      <c r="E1455" s="37">
        <v>7000000</v>
      </c>
      <c r="F1455" s="37"/>
      <c r="G1455" s="37">
        <f>+E1455</f>
        <v>7000000</v>
      </c>
      <c r="H1455" s="64"/>
      <c r="I1455" s="64">
        <v>163366.76999999999</v>
      </c>
      <c r="J1455" s="64">
        <v>59911.32</v>
      </c>
      <c r="K1455" s="18">
        <f>+G1455-H1455-I1455-J1455</f>
        <v>6776721.9100000001</v>
      </c>
      <c r="L1455" s="19">
        <f>+L1454-G1455</f>
        <v>16525519</v>
      </c>
      <c r="M1455" s="20"/>
      <c r="N1455" s="20"/>
      <c r="O1455" s="81"/>
      <c r="P1455" s="55"/>
      <c r="Q1455" s="55"/>
      <c r="R1455" s="14"/>
      <c r="S1455" s="14"/>
    </row>
    <row r="1456" spans="2:19" ht="12.75" hidden="1" customHeight="1" x14ac:dyDescent="0.25">
      <c r="B1456" s="16">
        <v>43469.125</v>
      </c>
      <c r="C1456" s="50" t="s">
        <v>654</v>
      </c>
      <c r="D1456" s="34"/>
      <c r="E1456" s="37">
        <v>16525519</v>
      </c>
      <c r="F1456" s="37"/>
      <c r="G1456" s="37"/>
      <c r="H1456" s="64"/>
      <c r="I1456" s="64"/>
      <c r="J1456" s="64"/>
      <c r="K1456" s="18"/>
      <c r="L1456" s="19">
        <f>+L1455-E1456</f>
        <v>0</v>
      </c>
      <c r="M1456" s="20"/>
      <c r="N1456" s="20"/>
      <c r="O1456" s="81"/>
      <c r="P1456" s="55"/>
      <c r="Q1456" s="55"/>
      <c r="R1456" s="14"/>
      <c r="S1456" s="14"/>
    </row>
    <row r="1457" spans="2:19" ht="12.95" hidden="1" customHeight="1" x14ac:dyDescent="0.25">
      <c r="B1457" s="9" t="s">
        <v>1400</v>
      </c>
      <c r="C1457" s="10"/>
      <c r="D1457" s="11">
        <v>31500000</v>
      </c>
      <c r="E1457" s="11">
        <f>+D1457</f>
        <v>31500000</v>
      </c>
      <c r="F1457" s="11"/>
      <c r="G1457" s="11"/>
      <c r="H1457" s="11"/>
      <c r="I1457" s="11"/>
      <c r="J1457" s="11"/>
      <c r="K1457" s="11"/>
      <c r="L1457" s="11">
        <f>+D1457</f>
        <v>31500000</v>
      </c>
      <c r="M1457" s="12"/>
      <c r="N1457" s="12"/>
      <c r="P1457" s="55"/>
      <c r="Q1457" s="55"/>
      <c r="R1457" s="14"/>
      <c r="S1457" s="14"/>
    </row>
    <row r="1458" spans="2:19" ht="12.95" hidden="1" customHeight="1" x14ac:dyDescent="0.25">
      <c r="B1458" s="16">
        <v>43399.083333333336</v>
      </c>
      <c r="C1458" s="50" t="s">
        <v>1401</v>
      </c>
      <c r="D1458" s="34"/>
      <c r="E1458" s="37">
        <v>3000000</v>
      </c>
      <c r="F1458" s="37"/>
      <c r="G1458" s="37">
        <f>+E1458</f>
        <v>3000000</v>
      </c>
      <c r="H1458" s="64"/>
      <c r="I1458" s="64">
        <v>0</v>
      </c>
      <c r="J1458" s="64">
        <v>25676.28</v>
      </c>
      <c r="K1458" s="18">
        <f>+G1458-H1458-I1458-J1458</f>
        <v>2974323.72</v>
      </c>
      <c r="L1458" s="19">
        <f>+L1457-G1458</f>
        <v>28500000</v>
      </c>
      <c r="M1458" s="20"/>
      <c r="N1458" s="20"/>
      <c r="O1458" s="81">
        <f>+L1462-'[1]ANEXO 7 - PPTO VIG 2018'!T93</f>
        <v>0</v>
      </c>
      <c r="P1458" s="55"/>
      <c r="Q1458" s="55"/>
      <c r="R1458" s="14"/>
      <c r="S1458" s="14"/>
    </row>
    <row r="1459" spans="2:19" ht="12.75" hidden="1" customHeight="1" x14ac:dyDescent="0.25">
      <c r="B1459" s="16">
        <v>43423.125</v>
      </c>
      <c r="C1459" s="50" t="s">
        <v>1402</v>
      </c>
      <c r="D1459" s="34"/>
      <c r="E1459" s="37">
        <v>9000000</v>
      </c>
      <c r="F1459" s="37"/>
      <c r="G1459" s="37">
        <f>+E1459</f>
        <v>9000000</v>
      </c>
      <c r="H1459" s="64"/>
      <c r="I1459" s="64">
        <v>602039.98</v>
      </c>
      <c r="J1459" s="64">
        <v>77028.84</v>
      </c>
      <c r="K1459" s="18">
        <f>+G1459-H1459-I1459-J1459</f>
        <v>8320931.1799999997</v>
      </c>
      <c r="L1459" s="19">
        <f>+L1458-G1459</f>
        <v>19500000</v>
      </c>
      <c r="M1459" s="20"/>
      <c r="N1459" s="20"/>
      <c r="O1459" s="81"/>
      <c r="P1459" s="55"/>
      <c r="Q1459" s="55"/>
      <c r="R1459" s="14"/>
      <c r="S1459" s="14"/>
    </row>
    <row r="1460" spans="2:19" ht="12.75" hidden="1" customHeight="1" x14ac:dyDescent="0.25">
      <c r="B1460" s="16">
        <v>43453.125</v>
      </c>
      <c r="C1460" s="50" t="s">
        <v>1403</v>
      </c>
      <c r="D1460" s="34"/>
      <c r="E1460" s="37">
        <v>9000000</v>
      </c>
      <c r="F1460" s="37"/>
      <c r="G1460" s="37">
        <f>+E1460</f>
        <v>9000000</v>
      </c>
      <c r="H1460" s="64"/>
      <c r="I1460" s="64">
        <v>602039.98</v>
      </c>
      <c r="J1460" s="64">
        <v>77028.84</v>
      </c>
      <c r="K1460" s="18">
        <f>+G1460-H1460-I1460-J1460</f>
        <v>8320931.1799999997</v>
      </c>
      <c r="L1460" s="19">
        <f>+L1459-G1460</f>
        <v>10500000</v>
      </c>
      <c r="M1460" s="20"/>
      <c r="N1460" s="20"/>
      <c r="O1460" s="81"/>
      <c r="P1460" s="55"/>
      <c r="Q1460" s="55"/>
      <c r="R1460" s="14"/>
      <c r="S1460" s="14"/>
    </row>
    <row r="1461" spans="2:19" ht="12.75" hidden="1" customHeight="1" x14ac:dyDescent="0.25">
      <c r="B1461" s="16">
        <v>43488.125</v>
      </c>
      <c r="C1461" s="50" t="s">
        <v>1404</v>
      </c>
      <c r="D1461" s="34"/>
      <c r="E1461" s="37">
        <v>9000000</v>
      </c>
      <c r="F1461" s="37"/>
      <c r="G1461" s="37">
        <f>+E1461</f>
        <v>9000000</v>
      </c>
      <c r="H1461" s="64"/>
      <c r="I1461" s="64">
        <v>566392.01</v>
      </c>
      <c r="J1461" s="64">
        <v>77028.84</v>
      </c>
      <c r="K1461" s="18">
        <f>+G1461-H1461-I1461-J1461</f>
        <v>8356579.1500000004</v>
      </c>
      <c r="L1461" s="19">
        <f>+L1460-G1461</f>
        <v>1500000</v>
      </c>
      <c r="M1461" s="20"/>
      <c r="N1461" s="20"/>
      <c r="O1461" s="81"/>
      <c r="P1461" s="55"/>
      <c r="Q1461" s="55"/>
      <c r="R1461" s="14"/>
      <c r="S1461" s="14"/>
    </row>
    <row r="1462" spans="2:19" ht="12.75" hidden="1" customHeight="1" x14ac:dyDescent="0.25">
      <c r="B1462" s="16">
        <v>43488.125</v>
      </c>
      <c r="C1462" s="50" t="s">
        <v>654</v>
      </c>
      <c r="D1462" s="34"/>
      <c r="E1462" s="37">
        <v>1500000</v>
      </c>
      <c r="F1462" s="37"/>
      <c r="G1462" s="37"/>
      <c r="H1462" s="64"/>
      <c r="I1462" s="64"/>
      <c r="J1462" s="64"/>
      <c r="K1462" s="18"/>
      <c r="L1462" s="19">
        <f>+L1461-E1462</f>
        <v>0</v>
      </c>
      <c r="M1462" s="20"/>
      <c r="N1462" s="20"/>
      <c r="O1462" s="81"/>
      <c r="P1462" s="55"/>
      <c r="Q1462" s="55"/>
      <c r="R1462" s="14"/>
      <c r="S1462" s="14"/>
    </row>
    <row r="1463" spans="2:19" ht="12.95" hidden="1" customHeight="1" x14ac:dyDescent="0.25">
      <c r="B1463" s="9" t="s">
        <v>1405</v>
      </c>
      <c r="C1463" s="10"/>
      <c r="D1463" s="11">
        <v>45000000</v>
      </c>
      <c r="E1463" s="11">
        <f>+D1463</f>
        <v>45000000</v>
      </c>
      <c r="F1463" s="11"/>
      <c r="G1463" s="11"/>
      <c r="H1463" s="11"/>
      <c r="I1463" s="11"/>
      <c r="J1463" s="11"/>
      <c r="K1463" s="11"/>
      <c r="L1463" s="11">
        <f>+D1463</f>
        <v>45000000</v>
      </c>
      <c r="M1463" s="12"/>
      <c r="N1463" s="12"/>
      <c r="P1463" s="55"/>
      <c r="Q1463" s="55"/>
      <c r="R1463" s="14"/>
      <c r="S1463" s="14"/>
    </row>
    <row r="1464" spans="2:19" ht="12.95" hidden="1" customHeight="1" x14ac:dyDescent="0.25">
      <c r="B1464" s="16">
        <v>43403.083333333336</v>
      </c>
      <c r="C1464" s="50" t="s">
        <v>1406</v>
      </c>
      <c r="D1464" s="34"/>
      <c r="E1464" s="37">
        <v>900000</v>
      </c>
      <c r="F1464" s="37"/>
      <c r="G1464" s="37">
        <f t="shared" ref="G1464:G1471" si="266">+E1464</f>
        <v>900000</v>
      </c>
      <c r="H1464" s="64"/>
      <c r="I1464" s="64">
        <v>0</v>
      </c>
      <c r="J1464" s="64">
        <v>7702.88</v>
      </c>
      <c r="K1464" s="18">
        <f t="shared" ref="K1464:K1470" si="267">+G1464-H1464-I1464-J1464</f>
        <v>892297.12</v>
      </c>
      <c r="L1464" s="19">
        <f t="shared" ref="L1464:L1470" si="268">+L1463-G1464</f>
        <v>44100000</v>
      </c>
      <c r="M1464" s="20"/>
      <c r="N1464" s="20"/>
      <c r="O1464" s="81">
        <f>+L1471-'[1]ANEXO 7 - PPTO VIG 2018'!T44</f>
        <v>0</v>
      </c>
      <c r="P1464" s="55"/>
      <c r="Q1464" s="55"/>
      <c r="R1464" s="14"/>
      <c r="S1464" s="14"/>
    </row>
    <row r="1465" spans="2:19" ht="12.95" hidden="1" customHeight="1" x14ac:dyDescent="0.25">
      <c r="B1465" s="16">
        <v>43423.125</v>
      </c>
      <c r="C1465" s="50" t="s">
        <v>1407</v>
      </c>
      <c r="D1465" s="34"/>
      <c r="E1465" s="37">
        <v>9000000</v>
      </c>
      <c r="F1465" s="37"/>
      <c r="G1465" s="37">
        <f t="shared" si="266"/>
        <v>9000000</v>
      </c>
      <c r="H1465" s="64"/>
      <c r="I1465" s="64">
        <v>420600.01</v>
      </c>
      <c r="J1465" s="64">
        <v>77028.84</v>
      </c>
      <c r="K1465" s="18">
        <f t="shared" si="267"/>
        <v>8502371.1500000004</v>
      </c>
      <c r="L1465" s="19">
        <f t="shared" si="268"/>
        <v>35100000</v>
      </c>
      <c r="M1465" s="20"/>
      <c r="N1465" s="20"/>
      <c r="O1465" s="81"/>
      <c r="P1465" s="55"/>
      <c r="Q1465" s="55"/>
      <c r="R1465" s="14"/>
      <c r="S1465" s="14"/>
    </row>
    <row r="1466" spans="2:19" ht="12.75" hidden="1" customHeight="1" x14ac:dyDescent="0.25">
      <c r="B1466" s="16">
        <v>43424.125</v>
      </c>
      <c r="C1466" s="50" t="s">
        <v>1408</v>
      </c>
      <c r="D1466" s="34"/>
      <c r="E1466" s="37">
        <v>684375</v>
      </c>
      <c r="F1466" s="37"/>
      <c r="G1466" s="37">
        <f t="shared" si="266"/>
        <v>684375</v>
      </c>
      <c r="H1466" s="64"/>
      <c r="I1466" s="64">
        <v>0</v>
      </c>
      <c r="J1466" s="64">
        <v>0</v>
      </c>
      <c r="K1466" s="18">
        <f t="shared" si="267"/>
        <v>684375</v>
      </c>
      <c r="L1466" s="19">
        <f t="shared" si="268"/>
        <v>34415625</v>
      </c>
      <c r="M1466" s="20"/>
      <c r="N1466" s="20"/>
      <c r="O1466" s="81"/>
      <c r="P1466" s="55"/>
      <c r="Q1466" s="55"/>
      <c r="R1466" s="14"/>
      <c r="S1466" s="14"/>
    </row>
    <row r="1467" spans="2:19" ht="12.95" hidden="1" customHeight="1" x14ac:dyDescent="0.25">
      <c r="B1467" s="16">
        <v>43446.125</v>
      </c>
      <c r="C1467" s="50" t="s">
        <v>1409</v>
      </c>
      <c r="D1467" s="34"/>
      <c r="E1467" s="37">
        <v>9000000</v>
      </c>
      <c r="F1467" s="37"/>
      <c r="G1467" s="37">
        <f t="shared" si="266"/>
        <v>9000000</v>
      </c>
      <c r="H1467" s="64"/>
      <c r="I1467" s="64">
        <v>420600.01</v>
      </c>
      <c r="J1467" s="64">
        <v>77028.84</v>
      </c>
      <c r="K1467" s="18">
        <f t="shared" si="267"/>
        <v>8502371.1500000004</v>
      </c>
      <c r="L1467" s="19">
        <f t="shared" si="268"/>
        <v>25415625</v>
      </c>
      <c r="M1467" s="20"/>
      <c r="N1467" s="20"/>
      <c r="O1467" s="81"/>
      <c r="P1467" s="55"/>
      <c r="Q1467" s="55"/>
      <c r="R1467" s="14"/>
      <c r="S1467" s="14"/>
    </row>
    <row r="1468" spans="2:19" ht="12.75" hidden="1" customHeight="1" x14ac:dyDescent="0.25">
      <c r="B1468" s="16">
        <v>43446.125</v>
      </c>
      <c r="C1468" s="50" t="s">
        <v>1410</v>
      </c>
      <c r="D1468" s="34"/>
      <c r="E1468" s="37">
        <v>1935111</v>
      </c>
      <c r="F1468" s="37"/>
      <c r="G1468" s="37">
        <f t="shared" si="266"/>
        <v>1935111</v>
      </c>
      <c r="H1468" s="64"/>
      <c r="I1468" s="64">
        <v>0</v>
      </c>
      <c r="J1468" s="64">
        <v>0</v>
      </c>
      <c r="K1468" s="18">
        <f t="shared" si="267"/>
        <v>1935111</v>
      </c>
      <c r="L1468" s="19">
        <f t="shared" si="268"/>
        <v>23480514</v>
      </c>
      <c r="M1468" s="20"/>
      <c r="N1468" s="20"/>
      <c r="O1468" s="81"/>
      <c r="P1468" s="55"/>
      <c r="Q1468" s="55"/>
      <c r="R1468" s="14"/>
      <c r="S1468" s="14"/>
    </row>
    <row r="1469" spans="2:19" ht="12.95" hidden="1" customHeight="1" x14ac:dyDescent="0.25">
      <c r="B1469" s="16">
        <v>43481.125</v>
      </c>
      <c r="C1469" s="50" t="s">
        <v>1411</v>
      </c>
      <c r="D1469" s="34"/>
      <c r="E1469" s="37">
        <v>2886822</v>
      </c>
      <c r="F1469" s="37"/>
      <c r="G1469" s="37">
        <f t="shared" si="266"/>
        <v>2886822</v>
      </c>
      <c r="H1469" s="64"/>
      <c r="I1469" s="64"/>
      <c r="J1469" s="64"/>
      <c r="K1469" s="18">
        <f t="shared" si="267"/>
        <v>2886822</v>
      </c>
      <c r="L1469" s="19">
        <f t="shared" si="268"/>
        <v>20593692</v>
      </c>
      <c r="M1469" s="20"/>
      <c r="N1469" s="20"/>
      <c r="O1469" s="81"/>
      <c r="P1469" s="55"/>
      <c r="Q1469" s="55"/>
      <c r="R1469" s="14"/>
      <c r="S1469" s="14"/>
    </row>
    <row r="1470" spans="2:19" ht="12.75" hidden="1" customHeight="1" x14ac:dyDescent="0.25">
      <c r="B1470" s="16">
        <v>43482.125</v>
      </c>
      <c r="C1470" s="50" t="s">
        <v>1412</v>
      </c>
      <c r="D1470" s="34"/>
      <c r="E1470" s="37">
        <v>9000000</v>
      </c>
      <c r="F1470" s="37"/>
      <c r="G1470" s="37">
        <f t="shared" si="266"/>
        <v>9000000</v>
      </c>
      <c r="H1470" s="64"/>
      <c r="I1470" s="64">
        <v>384952</v>
      </c>
      <c r="J1470" s="64">
        <v>77028.84</v>
      </c>
      <c r="K1470" s="18">
        <f t="shared" si="267"/>
        <v>8538019.1600000001</v>
      </c>
      <c r="L1470" s="19">
        <f t="shared" si="268"/>
        <v>11593692</v>
      </c>
      <c r="M1470" s="20"/>
      <c r="N1470" s="20"/>
      <c r="O1470" s="81"/>
      <c r="P1470" s="55"/>
      <c r="Q1470" s="55"/>
      <c r="R1470" s="14"/>
      <c r="S1470" s="14"/>
    </row>
    <row r="1471" spans="2:19" ht="12.75" hidden="1" customHeight="1" x14ac:dyDescent="0.25">
      <c r="B1471" s="16">
        <v>43482.125</v>
      </c>
      <c r="C1471" s="50" t="s">
        <v>654</v>
      </c>
      <c r="D1471" s="34"/>
      <c r="E1471" s="37">
        <v>11593692</v>
      </c>
      <c r="F1471" s="37"/>
      <c r="G1471" s="37">
        <f t="shared" si="266"/>
        <v>11593692</v>
      </c>
      <c r="H1471" s="64"/>
      <c r="I1471" s="64"/>
      <c r="J1471" s="64"/>
      <c r="K1471" s="18"/>
      <c r="L1471" s="19">
        <f>+L1470-E1471</f>
        <v>0</v>
      </c>
      <c r="M1471" s="20"/>
      <c r="N1471" s="20"/>
      <c r="O1471" s="81"/>
      <c r="P1471" s="55"/>
      <c r="Q1471" s="55"/>
      <c r="R1471" s="14"/>
      <c r="S1471" s="14"/>
    </row>
    <row r="1472" spans="2:19" ht="12.95" hidden="1" customHeight="1" x14ac:dyDescent="0.25">
      <c r="B1472" s="9" t="s">
        <v>1413</v>
      </c>
      <c r="C1472" s="10"/>
      <c r="D1472" s="11">
        <v>40480000</v>
      </c>
      <c r="E1472" s="11">
        <f>+D1472</f>
        <v>40480000</v>
      </c>
      <c r="F1472" s="11"/>
      <c r="G1472" s="11"/>
      <c r="H1472" s="11"/>
      <c r="I1472" s="11"/>
      <c r="J1472" s="11"/>
      <c r="K1472" s="11"/>
      <c r="L1472" s="11">
        <f>+D1472</f>
        <v>40480000</v>
      </c>
      <c r="M1472" s="12"/>
      <c r="N1472" s="12"/>
      <c r="P1472" s="55"/>
      <c r="Q1472" s="55"/>
      <c r="R1472" s="14"/>
      <c r="S1472" s="14"/>
    </row>
    <row r="1473" spans="2:19" ht="12.95" hidden="1" customHeight="1" x14ac:dyDescent="0.25">
      <c r="B1473" s="16">
        <v>43406.083333333336</v>
      </c>
      <c r="C1473" s="50" t="s">
        <v>1414</v>
      </c>
      <c r="D1473" s="34"/>
      <c r="E1473" s="37">
        <v>1698667</v>
      </c>
      <c r="F1473" s="37"/>
      <c r="G1473" s="37">
        <f>+E1473</f>
        <v>1698667</v>
      </c>
      <c r="H1473" s="64"/>
      <c r="I1473" s="64"/>
      <c r="J1473" s="64">
        <v>14538.48</v>
      </c>
      <c r="K1473" s="18">
        <f>+G1473-H1473-I1473-J1473</f>
        <v>1684128.52</v>
      </c>
      <c r="L1473" s="19">
        <f>+L1472-G1473</f>
        <v>38781333</v>
      </c>
      <c r="M1473" s="20"/>
      <c r="N1473" s="20"/>
      <c r="O1473" s="81">
        <f>+L1477-'[1]ANEXO 7 - PPTO VIG 2018'!T79</f>
        <v>0</v>
      </c>
      <c r="P1473" s="55"/>
      <c r="Q1473" s="55"/>
      <c r="R1473" s="14"/>
      <c r="S1473" s="14"/>
    </row>
    <row r="1474" spans="2:19" ht="12.95" hidden="1" customHeight="1" x14ac:dyDescent="0.25">
      <c r="B1474" s="16">
        <v>43425.125</v>
      </c>
      <c r="C1474" s="50" t="s">
        <v>1415</v>
      </c>
      <c r="D1474" s="34"/>
      <c r="E1474" s="37">
        <v>7280000</v>
      </c>
      <c r="F1474" s="37"/>
      <c r="G1474" s="37">
        <f>+E1474</f>
        <v>7280000</v>
      </c>
      <c r="H1474" s="64"/>
      <c r="I1474" s="64">
        <v>214750.35</v>
      </c>
      <c r="J1474" s="64">
        <v>62307.77</v>
      </c>
      <c r="K1474" s="18">
        <f>+G1474-H1474-I1474-J1474</f>
        <v>7002941.8800000008</v>
      </c>
      <c r="L1474" s="19">
        <f>+L1473-G1474</f>
        <v>31501333</v>
      </c>
      <c r="M1474" s="20"/>
      <c r="N1474" s="20"/>
      <c r="O1474" s="81"/>
      <c r="P1474" s="55"/>
      <c r="Q1474" s="55"/>
      <c r="R1474" s="14"/>
      <c r="S1474" s="14"/>
    </row>
    <row r="1475" spans="2:19" ht="12.75" hidden="1" customHeight="1" x14ac:dyDescent="0.25">
      <c r="B1475" s="16">
        <v>43446.125</v>
      </c>
      <c r="C1475" s="50" t="s">
        <v>1416</v>
      </c>
      <c r="D1475" s="34"/>
      <c r="E1475" s="37">
        <v>7280000</v>
      </c>
      <c r="F1475" s="37"/>
      <c r="G1475" s="37">
        <f>+E1475</f>
        <v>7280000</v>
      </c>
      <c r="H1475" s="64"/>
      <c r="I1475" s="64">
        <v>214750.35</v>
      </c>
      <c r="J1475" s="64">
        <v>62307.77</v>
      </c>
      <c r="K1475" s="18">
        <f>+G1475-H1475-I1475-J1475</f>
        <v>7002941.8800000008</v>
      </c>
      <c r="L1475" s="19">
        <f>+L1474-G1475</f>
        <v>24221333</v>
      </c>
      <c r="M1475" s="20"/>
      <c r="N1475" s="20"/>
      <c r="O1475" s="81"/>
      <c r="P1475" s="55"/>
      <c r="Q1475" s="55"/>
      <c r="R1475" s="14"/>
      <c r="S1475" s="14"/>
    </row>
    <row r="1476" spans="2:19" ht="12.75" hidden="1" customHeight="1" x14ac:dyDescent="0.25">
      <c r="B1476" s="16">
        <v>43488.125</v>
      </c>
      <c r="C1476" s="50" t="s">
        <v>1417</v>
      </c>
      <c r="D1476" s="34"/>
      <c r="E1476" s="37">
        <v>7280000</v>
      </c>
      <c r="F1476" s="37"/>
      <c r="G1476" s="37">
        <f>+E1476</f>
        <v>7280000</v>
      </c>
      <c r="H1476" s="64"/>
      <c r="I1476" s="64">
        <v>194642.63</v>
      </c>
      <c r="J1476" s="64">
        <v>62307.77</v>
      </c>
      <c r="K1476" s="18">
        <f>+G1476-H1476-I1476-J1476</f>
        <v>7023049.6000000006</v>
      </c>
      <c r="L1476" s="19">
        <f>+L1475-G1476</f>
        <v>16941333</v>
      </c>
      <c r="M1476" s="20"/>
      <c r="N1476" s="20"/>
      <c r="O1476" s="81"/>
      <c r="P1476" s="55"/>
      <c r="Q1476" s="55"/>
      <c r="R1476" s="14"/>
      <c r="S1476" s="14"/>
    </row>
    <row r="1477" spans="2:19" ht="12.75" hidden="1" customHeight="1" x14ac:dyDescent="0.25">
      <c r="B1477" s="16">
        <v>43488.125</v>
      </c>
      <c r="C1477" s="50" t="s">
        <v>654</v>
      </c>
      <c r="D1477" s="34"/>
      <c r="E1477" s="37">
        <v>16941333</v>
      </c>
      <c r="F1477" s="37"/>
      <c r="G1477" s="37">
        <f>+E1477</f>
        <v>16941333</v>
      </c>
      <c r="H1477" s="64"/>
      <c r="I1477" s="64"/>
      <c r="J1477" s="64"/>
      <c r="K1477" s="18"/>
      <c r="L1477" s="19">
        <f>+L1476-E1477</f>
        <v>0</v>
      </c>
      <c r="M1477" s="20"/>
      <c r="N1477" s="20"/>
      <c r="O1477" s="81"/>
      <c r="P1477" s="55"/>
      <c r="Q1477" s="55"/>
      <c r="R1477" s="14"/>
      <c r="S1477" s="14"/>
    </row>
    <row r="1478" spans="2:19" ht="15" hidden="1" x14ac:dyDescent="0.25">
      <c r="B1478" s="9" t="s">
        <v>1418</v>
      </c>
      <c r="C1478" s="10"/>
      <c r="D1478" s="11">
        <v>17500000</v>
      </c>
      <c r="E1478" s="11">
        <f>+D1478</f>
        <v>17500000</v>
      </c>
      <c r="F1478" s="11"/>
      <c r="G1478" s="11"/>
      <c r="H1478" s="11"/>
      <c r="I1478" s="11"/>
      <c r="J1478" s="11"/>
      <c r="K1478" s="11"/>
      <c r="L1478" s="11">
        <f>+D1478</f>
        <v>17500000</v>
      </c>
      <c r="M1478" s="12"/>
      <c r="N1478" s="12"/>
      <c r="P1478" s="55"/>
      <c r="Q1478" s="55"/>
      <c r="R1478" s="14"/>
      <c r="S1478" s="14"/>
    </row>
    <row r="1479" spans="2:19" ht="12.95" hidden="1" customHeight="1" x14ac:dyDescent="0.25">
      <c r="B1479" s="16">
        <v>43410.125</v>
      </c>
      <c r="C1479" s="50" t="s">
        <v>1419</v>
      </c>
      <c r="D1479" s="34"/>
      <c r="E1479" s="37">
        <v>1166667</v>
      </c>
      <c r="F1479" s="37"/>
      <c r="G1479" s="37">
        <f>+E1479</f>
        <v>1166667</v>
      </c>
      <c r="H1479" s="64"/>
      <c r="I1479" s="64">
        <v>0</v>
      </c>
      <c r="J1479" s="64">
        <v>9985.2199999999993</v>
      </c>
      <c r="K1479" s="18">
        <f>+G1479-H1479-I1479-J1479</f>
        <v>1156681.78</v>
      </c>
      <c r="L1479" s="19">
        <f>+L1478-G1479</f>
        <v>16333333</v>
      </c>
      <c r="M1479" s="20"/>
      <c r="N1479" s="20"/>
      <c r="O1479" s="81">
        <f>+L1483-'[1]ANEXO 7 - PPTO VIG 2018'!T80</f>
        <v>0</v>
      </c>
      <c r="P1479" s="55"/>
      <c r="Q1479" s="55"/>
      <c r="R1479" s="14"/>
      <c r="S1479" s="14"/>
    </row>
    <row r="1480" spans="2:19" ht="12.95" hidden="1" customHeight="1" x14ac:dyDescent="0.25">
      <c r="B1480" s="16">
        <v>43426.125</v>
      </c>
      <c r="C1480" s="50" t="s">
        <v>1420</v>
      </c>
      <c r="D1480" s="34"/>
      <c r="E1480" s="37">
        <v>5000000</v>
      </c>
      <c r="F1480" s="37"/>
      <c r="G1480" s="37">
        <f>+E1480</f>
        <v>5000000</v>
      </c>
      <c r="H1480" s="64"/>
      <c r="I1480" s="64">
        <v>28477.19</v>
      </c>
      <c r="J1480" s="64">
        <v>42793.8</v>
      </c>
      <c r="K1480" s="18">
        <f>+G1480-H1480-I1480-J1480</f>
        <v>4928729.01</v>
      </c>
      <c r="L1480" s="19">
        <f>+L1479-G1480</f>
        <v>11333333</v>
      </c>
      <c r="M1480" s="20"/>
      <c r="N1480" s="20"/>
      <c r="O1480" s="81"/>
      <c r="P1480" s="55"/>
      <c r="Q1480" s="55"/>
      <c r="R1480" s="14"/>
      <c r="S1480" s="14"/>
    </row>
    <row r="1481" spans="2:19" ht="12.95" hidden="1" customHeight="1" x14ac:dyDescent="0.25">
      <c r="B1481" s="16">
        <v>43467.125</v>
      </c>
      <c r="C1481" s="50" t="s">
        <v>1421</v>
      </c>
      <c r="D1481" s="34"/>
      <c r="E1481" s="37">
        <v>5000000</v>
      </c>
      <c r="F1481" s="37"/>
      <c r="G1481" s="37">
        <f>+E1481</f>
        <v>5000000</v>
      </c>
      <c r="H1481" s="64"/>
      <c r="I1481" s="64">
        <v>31312.959999999999</v>
      </c>
      <c r="J1481" s="64">
        <v>42793.8</v>
      </c>
      <c r="K1481" s="18">
        <f>+G1481-H1481-I1481-J1481</f>
        <v>4925893.24</v>
      </c>
      <c r="L1481" s="19">
        <f>+L1480-G1481</f>
        <v>6333333</v>
      </c>
      <c r="M1481" s="20"/>
      <c r="N1481" s="20"/>
      <c r="O1481" s="81"/>
      <c r="P1481" s="55"/>
      <c r="Q1481" s="55"/>
      <c r="R1481" s="14"/>
      <c r="S1481" s="14"/>
    </row>
    <row r="1482" spans="2:19" ht="12.95" hidden="1" customHeight="1" x14ac:dyDescent="0.25">
      <c r="B1482" s="16">
        <v>43481.125</v>
      </c>
      <c r="C1482" s="50" t="s">
        <v>1422</v>
      </c>
      <c r="D1482" s="34"/>
      <c r="E1482" s="37">
        <v>5000000</v>
      </c>
      <c r="F1482" s="37"/>
      <c r="G1482" s="37">
        <f>+E1482</f>
        <v>5000000</v>
      </c>
      <c r="H1482" s="64"/>
      <c r="I1482" s="64">
        <v>11205.26</v>
      </c>
      <c r="J1482" s="64">
        <v>42793.8</v>
      </c>
      <c r="K1482" s="18">
        <f>+G1482-H1482-I1482-J1482</f>
        <v>4946000.9400000004</v>
      </c>
      <c r="L1482" s="19">
        <f>+L1481-G1482</f>
        <v>1333333</v>
      </c>
      <c r="M1482" s="20"/>
      <c r="N1482" s="20"/>
      <c r="O1482" s="81"/>
      <c r="P1482" s="55"/>
      <c r="Q1482" s="55"/>
      <c r="R1482" s="14"/>
      <c r="S1482" s="14"/>
    </row>
    <row r="1483" spans="2:19" ht="12.75" hidden="1" customHeight="1" x14ac:dyDescent="0.25">
      <c r="B1483" s="16">
        <v>43482.125</v>
      </c>
      <c r="C1483" s="50" t="s">
        <v>654</v>
      </c>
      <c r="D1483" s="34"/>
      <c r="E1483" s="37">
        <v>1333333</v>
      </c>
      <c r="F1483" s="37"/>
      <c r="G1483" s="37">
        <f>+E1483</f>
        <v>1333333</v>
      </c>
      <c r="H1483" s="64"/>
      <c r="I1483" s="64"/>
      <c r="J1483" s="64"/>
      <c r="K1483" s="18"/>
      <c r="L1483" s="19">
        <f>+L1482-E1483</f>
        <v>0</v>
      </c>
      <c r="M1483" s="20"/>
      <c r="N1483" s="20"/>
      <c r="O1483" s="81"/>
      <c r="P1483" s="55"/>
      <c r="Q1483" s="55"/>
      <c r="R1483" s="14"/>
      <c r="S1483" s="14"/>
    </row>
    <row r="1484" spans="2:19" ht="12.95" hidden="1" customHeight="1" x14ac:dyDescent="0.25">
      <c r="B1484" s="9" t="s">
        <v>1423</v>
      </c>
      <c r="C1484" s="10"/>
      <c r="D1484" s="11">
        <v>15600000</v>
      </c>
      <c r="E1484" s="11">
        <f>+D1484</f>
        <v>15600000</v>
      </c>
      <c r="F1484" s="11"/>
      <c r="G1484" s="11"/>
      <c r="H1484" s="11"/>
      <c r="I1484" s="11"/>
      <c r="J1484" s="11"/>
      <c r="K1484" s="11"/>
      <c r="L1484" s="11">
        <f>+D1484</f>
        <v>15600000</v>
      </c>
      <c r="M1484" s="12"/>
      <c r="N1484" s="12"/>
      <c r="P1484" s="55"/>
      <c r="Q1484" s="55"/>
      <c r="R1484" s="14"/>
      <c r="S1484" s="14"/>
    </row>
    <row r="1485" spans="2:19" ht="12.95" hidden="1" customHeight="1" x14ac:dyDescent="0.25">
      <c r="B1485" s="16">
        <v>43420.125</v>
      </c>
      <c r="C1485" s="50" t="s">
        <v>1424</v>
      </c>
      <c r="D1485" s="34"/>
      <c r="E1485" s="37">
        <v>5026666</v>
      </c>
      <c r="F1485" s="37"/>
      <c r="G1485" s="37">
        <f>+E1485</f>
        <v>5026666</v>
      </c>
      <c r="H1485" s="64"/>
      <c r="I1485" s="64">
        <v>85515.09</v>
      </c>
      <c r="J1485" s="64">
        <v>46406.31</v>
      </c>
      <c r="K1485" s="18">
        <f>+G1485-H1485-I1485-J1485</f>
        <v>4894744.6000000006</v>
      </c>
      <c r="L1485" s="19">
        <f>+L1484-G1485</f>
        <v>10573334</v>
      </c>
      <c r="M1485" s="20"/>
      <c r="N1485" s="20"/>
      <c r="O1485" s="81">
        <f>+L1488-'[1]ANEXO 7 - PPTO VIG 2018'!T59</f>
        <v>0</v>
      </c>
      <c r="P1485" s="55"/>
      <c r="Q1485" s="55"/>
      <c r="R1485" s="14"/>
      <c r="S1485" s="14"/>
    </row>
    <row r="1486" spans="2:19" ht="12.95" hidden="1" customHeight="1" x14ac:dyDescent="0.25">
      <c r="B1486" s="16">
        <v>43453.125</v>
      </c>
      <c r="C1486" s="50" t="s">
        <v>1425</v>
      </c>
      <c r="D1486" s="34"/>
      <c r="E1486" s="37">
        <v>5200000</v>
      </c>
      <c r="F1486" s="37"/>
      <c r="G1486" s="37">
        <v>5200000</v>
      </c>
      <c r="H1486" s="64"/>
      <c r="I1486" s="64">
        <v>56506.94</v>
      </c>
      <c r="J1486" s="64">
        <v>44505.55</v>
      </c>
      <c r="K1486" s="18">
        <f>+G1486-H1486-I1486-J1486</f>
        <v>5098987.51</v>
      </c>
      <c r="L1486" s="19">
        <f>+L1485-G1486</f>
        <v>5373334</v>
      </c>
      <c r="M1486" s="20"/>
      <c r="N1486" s="20"/>
      <c r="O1486" s="81"/>
      <c r="P1486" s="55"/>
      <c r="Q1486" s="55"/>
      <c r="R1486" s="14"/>
      <c r="S1486" s="14"/>
    </row>
    <row r="1487" spans="2:19" ht="12.95" hidden="1" customHeight="1" x14ac:dyDescent="0.25">
      <c r="B1487" s="16">
        <v>43488.125</v>
      </c>
      <c r="C1487" s="50" t="s">
        <v>1426</v>
      </c>
      <c r="D1487" s="34"/>
      <c r="E1487" s="37">
        <v>5200000</v>
      </c>
      <c r="F1487" s="37"/>
      <c r="G1487" s="37">
        <v>5200000</v>
      </c>
      <c r="H1487" s="64"/>
      <c r="I1487" s="64">
        <v>36399.26</v>
      </c>
      <c r="J1487" s="64">
        <v>44505.55</v>
      </c>
      <c r="K1487" s="18">
        <f>+G1487-H1487-I1487-J1487</f>
        <v>5119095.1900000004</v>
      </c>
      <c r="L1487" s="19">
        <f>+L1486-G1487</f>
        <v>173334</v>
      </c>
      <c r="M1487" s="20"/>
      <c r="N1487" s="20"/>
      <c r="O1487" s="81"/>
      <c r="P1487" s="55"/>
      <c r="Q1487" s="55"/>
      <c r="R1487" s="14"/>
      <c r="S1487" s="14"/>
    </row>
    <row r="1488" spans="2:19" ht="12.95" hidden="1" customHeight="1" x14ac:dyDescent="0.25">
      <c r="B1488" s="16">
        <v>43488.125</v>
      </c>
      <c r="C1488" s="50" t="s">
        <v>654</v>
      </c>
      <c r="D1488" s="34"/>
      <c r="E1488" s="37">
        <v>173334</v>
      </c>
      <c r="F1488" s="37"/>
      <c r="G1488" s="37">
        <f>+E1488</f>
        <v>173334</v>
      </c>
      <c r="H1488" s="64"/>
      <c r="I1488" s="64"/>
      <c r="J1488" s="64"/>
      <c r="K1488" s="18"/>
      <c r="L1488" s="19">
        <f>+L1487-E1488</f>
        <v>0</v>
      </c>
      <c r="M1488" s="20"/>
      <c r="N1488" s="20"/>
      <c r="O1488" s="81"/>
      <c r="P1488" s="55"/>
      <c r="Q1488" s="55"/>
      <c r="R1488" s="14"/>
      <c r="S1488" s="14"/>
    </row>
    <row r="1489" spans="2:19" ht="12.95" hidden="1" customHeight="1" x14ac:dyDescent="0.25">
      <c r="B1489" s="9" t="s">
        <v>1427</v>
      </c>
      <c r="C1489" s="10"/>
      <c r="D1489" s="11">
        <v>47760000</v>
      </c>
      <c r="E1489" s="11">
        <f>+D1489</f>
        <v>47760000</v>
      </c>
      <c r="F1489" s="11"/>
      <c r="G1489" s="11"/>
      <c r="H1489" s="11"/>
      <c r="I1489" s="11"/>
      <c r="J1489" s="11"/>
      <c r="K1489" s="11"/>
      <c r="L1489" s="11">
        <f>+D1489</f>
        <v>47760000</v>
      </c>
      <c r="M1489" s="12"/>
      <c r="N1489" s="12"/>
      <c r="P1489" s="55"/>
      <c r="Q1489" s="55"/>
      <c r="R1489" s="14"/>
      <c r="S1489" s="14"/>
    </row>
    <row r="1490" spans="2:19" ht="12.95" hidden="1" customHeight="1" x14ac:dyDescent="0.25">
      <c r="B1490" s="16">
        <v>43417.125</v>
      </c>
      <c r="C1490" s="50" t="s">
        <v>1428</v>
      </c>
      <c r="D1490" s="34"/>
      <c r="E1490" s="37">
        <v>1248000</v>
      </c>
      <c r="F1490" s="37"/>
      <c r="G1490" s="37">
        <f t="shared" ref="G1490:G1495" si="269">+E1490</f>
        <v>1248000</v>
      </c>
      <c r="H1490" s="64"/>
      <c r="I1490" s="64"/>
      <c r="J1490" s="64">
        <v>10681.33</v>
      </c>
      <c r="K1490" s="18">
        <f>+G1490-H1490-I1490-J1490</f>
        <v>1237318.67</v>
      </c>
      <c r="L1490" s="19">
        <f>+L1489-G1490</f>
        <v>46512000</v>
      </c>
      <c r="M1490" s="20"/>
      <c r="N1490" s="20"/>
      <c r="O1490" s="81">
        <f>+L1495-'[1]ANEXO 7 - PPTO VIG 2018'!T45</f>
        <v>0</v>
      </c>
      <c r="P1490" s="55"/>
      <c r="Q1490" s="55"/>
      <c r="R1490" s="14"/>
      <c r="S1490" s="14"/>
    </row>
    <row r="1491" spans="2:19" ht="12.95" hidden="1" customHeight="1" x14ac:dyDescent="0.25">
      <c r="B1491" s="16">
        <v>43425.125</v>
      </c>
      <c r="C1491" s="50" t="s">
        <v>1429</v>
      </c>
      <c r="D1491" s="34"/>
      <c r="E1491" s="37">
        <v>9360000</v>
      </c>
      <c r="F1491" s="37"/>
      <c r="G1491" s="37">
        <f t="shared" si="269"/>
        <v>9360000</v>
      </c>
      <c r="H1491" s="64"/>
      <c r="I1491" s="64">
        <v>676413.6</v>
      </c>
      <c r="J1491" s="64">
        <v>80109.990000000005</v>
      </c>
      <c r="K1491" s="18">
        <f>+G1491-H1491-I1491-J1491</f>
        <v>8603476.4100000001</v>
      </c>
      <c r="L1491" s="19">
        <f>+L1490-G1491</f>
        <v>37152000</v>
      </c>
      <c r="M1491" s="20"/>
      <c r="N1491" s="20"/>
      <c r="O1491" s="81"/>
      <c r="P1491" s="55"/>
      <c r="Q1491" s="55"/>
      <c r="R1491" s="14"/>
      <c r="S1491" s="14"/>
    </row>
    <row r="1492" spans="2:19" ht="12.95" hidden="1" customHeight="1" x14ac:dyDescent="0.25">
      <c r="B1492" s="16">
        <v>43446.125</v>
      </c>
      <c r="C1492" s="50" t="s">
        <v>1430</v>
      </c>
      <c r="D1492" s="34"/>
      <c r="E1492" s="37">
        <v>9360000</v>
      </c>
      <c r="F1492" s="37"/>
      <c r="G1492" s="37">
        <f t="shared" si="269"/>
        <v>9360000</v>
      </c>
      <c r="H1492" s="64"/>
      <c r="I1492" s="64">
        <v>904608.01</v>
      </c>
      <c r="J1492" s="64">
        <v>90417.600000000006</v>
      </c>
      <c r="K1492" s="18">
        <f>+G1492-H1492-I1492-J1492</f>
        <v>8364974.3900000006</v>
      </c>
      <c r="L1492" s="19">
        <f>+L1491-G1492</f>
        <v>27792000</v>
      </c>
      <c r="M1492" s="20"/>
      <c r="N1492" s="20"/>
      <c r="O1492" s="81"/>
      <c r="P1492" s="55"/>
      <c r="Q1492" s="55"/>
      <c r="R1492" s="14"/>
      <c r="S1492" s="14"/>
    </row>
    <row r="1493" spans="2:19" ht="12.95" hidden="1" customHeight="1" x14ac:dyDescent="0.25">
      <c r="B1493" s="16">
        <v>43481.125</v>
      </c>
      <c r="C1493" s="50" t="s">
        <v>1431</v>
      </c>
      <c r="D1493" s="34"/>
      <c r="E1493" s="37">
        <v>9360000</v>
      </c>
      <c r="F1493" s="37"/>
      <c r="G1493" s="37">
        <f t="shared" si="269"/>
        <v>9360000</v>
      </c>
      <c r="H1493" s="64"/>
      <c r="I1493" s="64">
        <v>640765.59</v>
      </c>
      <c r="J1493" s="64">
        <v>80109.990000000005</v>
      </c>
      <c r="K1493" s="18">
        <f>+G1493-H1493-I1493-J1493</f>
        <v>8639124.4199999999</v>
      </c>
      <c r="L1493" s="19">
        <f>+L1492-G1493</f>
        <v>18432000</v>
      </c>
      <c r="M1493" s="20"/>
      <c r="N1493" s="20"/>
      <c r="O1493" s="81"/>
      <c r="P1493" s="55"/>
      <c r="Q1493" s="55"/>
      <c r="R1493" s="14"/>
      <c r="S1493" s="14"/>
    </row>
    <row r="1494" spans="2:19" ht="12.95" hidden="1" customHeight="1" x14ac:dyDescent="0.25">
      <c r="B1494" s="16">
        <v>43482.125</v>
      </c>
      <c r="C1494" s="50" t="s">
        <v>1432</v>
      </c>
      <c r="D1494" s="34"/>
      <c r="E1494" s="37">
        <v>1422773</v>
      </c>
      <c r="F1494" s="37"/>
      <c r="G1494" s="37">
        <f t="shared" si="269"/>
        <v>1422773</v>
      </c>
      <c r="H1494" s="64"/>
      <c r="I1494" s="64"/>
      <c r="J1494" s="64">
        <v>0</v>
      </c>
      <c r="K1494" s="18">
        <f>+G1494-H1494-I1494-J1494</f>
        <v>1422773</v>
      </c>
      <c r="L1494" s="19">
        <f>+L1493-G1494</f>
        <v>17009227</v>
      </c>
      <c r="M1494" s="20"/>
      <c r="N1494" s="20"/>
      <c r="O1494" s="81"/>
      <c r="P1494" s="55"/>
      <c r="Q1494" s="55"/>
      <c r="R1494" s="14"/>
      <c r="S1494" s="14"/>
    </row>
    <row r="1495" spans="2:19" ht="12.95" hidden="1" customHeight="1" x14ac:dyDescent="0.25">
      <c r="B1495" s="16">
        <v>43482.125</v>
      </c>
      <c r="C1495" s="50" t="s">
        <v>654</v>
      </c>
      <c r="D1495" s="34"/>
      <c r="E1495" s="37">
        <v>17009227</v>
      </c>
      <c r="F1495" s="37"/>
      <c r="G1495" s="37">
        <f t="shared" si="269"/>
        <v>17009227</v>
      </c>
      <c r="H1495" s="64"/>
      <c r="I1495" s="64"/>
      <c r="J1495" s="64"/>
      <c r="K1495" s="18"/>
      <c r="L1495" s="19">
        <f>+L1494-E1495</f>
        <v>0</v>
      </c>
      <c r="M1495" s="20"/>
      <c r="N1495" s="20"/>
      <c r="O1495" s="81"/>
      <c r="P1495" s="55"/>
      <c r="Q1495" s="55"/>
      <c r="R1495" s="14"/>
      <c r="S1495" s="14"/>
    </row>
    <row r="1496" spans="2:19" ht="12.95" hidden="1" customHeight="1" x14ac:dyDescent="0.25">
      <c r="B1496" s="9" t="s">
        <v>1433</v>
      </c>
      <c r="C1496" s="10"/>
      <c r="D1496" s="11">
        <v>22186667</v>
      </c>
      <c r="E1496" s="11">
        <f>+D1496</f>
        <v>22186667</v>
      </c>
      <c r="F1496" s="11"/>
      <c r="G1496" s="11"/>
      <c r="H1496" s="11"/>
      <c r="I1496" s="11"/>
      <c r="J1496" s="11"/>
      <c r="K1496" s="11"/>
      <c r="L1496" s="11">
        <f>+D1496</f>
        <v>22186667</v>
      </c>
      <c r="M1496" s="12"/>
      <c r="N1496" s="12"/>
      <c r="P1496" s="55"/>
      <c r="Q1496" s="55"/>
      <c r="R1496" s="14"/>
      <c r="S1496" s="14"/>
    </row>
    <row r="1497" spans="2:19" ht="12.95" hidden="1" customHeight="1" x14ac:dyDescent="0.25">
      <c r="B1497" s="16">
        <v>43417.125</v>
      </c>
      <c r="C1497" s="50" t="s">
        <v>1428</v>
      </c>
      <c r="D1497" s="34"/>
      <c r="E1497" s="37">
        <v>4437333</v>
      </c>
      <c r="F1497" s="37"/>
      <c r="G1497" s="37">
        <f>+E1497</f>
        <v>4437333</v>
      </c>
      <c r="H1497" s="64"/>
      <c r="I1497" s="64"/>
      <c r="J1497" s="64">
        <v>37978.07</v>
      </c>
      <c r="K1497" s="18">
        <f>+G1497-H1497-I1497-J1497</f>
        <v>4399354.93</v>
      </c>
      <c r="L1497" s="19">
        <f>+L1496-G1497</f>
        <v>17749334</v>
      </c>
      <c r="M1497" s="20"/>
      <c r="N1497" s="20"/>
      <c r="O1497" s="81">
        <f>+L1499-'[1]ANEXO 7 - PPTO VIG 2018'!T46</f>
        <v>0</v>
      </c>
      <c r="P1497" s="55"/>
      <c r="Q1497" s="55"/>
      <c r="R1497" s="14"/>
      <c r="S1497" s="14"/>
    </row>
    <row r="1498" spans="2:19" ht="12.95" hidden="1" customHeight="1" x14ac:dyDescent="0.25">
      <c r="B1498" s="16">
        <v>43489.125</v>
      </c>
      <c r="C1498" s="50" t="s">
        <v>1434</v>
      </c>
      <c r="D1498" s="34"/>
      <c r="E1498" s="37">
        <v>8320000</v>
      </c>
      <c r="F1498" s="37"/>
      <c r="G1498" s="37">
        <f>+E1498</f>
        <v>8320000</v>
      </c>
      <c r="H1498" s="64"/>
      <c r="I1498" s="64">
        <v>310828.59000000003</v>
      </c>
      <c r="J1498" s="64">
        <v>71208.88</v>
      </c>
      <c r="K1498" s="18">
        <f>+G1498-H1498-I1498-J1498</f>
        <v>7937962.5300000003</v>
      </c>
      <c r="L1498" s="19">
        <f>+L1497-G1498</f>
        <v>9429334</v>
      </c>
      <c r="M1498" s="20"/>
      <c r="N1498" s="20"/>
      <c r="O1498" s="81"/>
      <c r="P1498" s="55"/>
      <c r="Q1498" s="55"/>
      <c r="R1498" s="14"/>
      <c r="S1498" s="14"/>
    </row>
    <row r="1499" spans="2:19" ht="12.95" hidden="1" customHeight="1" x14ac:dyDescent="0.25">
      <c r="B1499" s="16">
        <v>43489.125</v>
      </c>
      <c r="C1499" s="50" t="s">
        <v>654</v>
      </c>
      <c r="D1499" s="34"/>
      <c r="E1499" s="37">
        <v>9429334</v>
      </c>
      <c r="F1499" s="37"/>
      <c r="G1499" s="37">
        <f>+E1499</f>
        <v>9429334</v>
      </c>
      <c r="H1499" s="64"/>
      <c r="I1499" s="64"/>
      <c r="J1499" s="64"/>
      <c r="K1499" s="18"/>
      <c r="L1499" s="19">
        <f>+L1498-E1499</f>
        <v>0</v>
      </c>
      <c r="M1499" s="20"/>
      <c r="N1499" s="20"/>
      <c r="O1499" s="81"/>
      <c r="P1499" s="55"/>
      <c r="Q1499" s="55"/>
      <c r="R1499" s="14"/>
      <c r="S1499" s="14"/>
    </row>
    <row r="1500" spans="2:19" ht="12.95" hidden="1" customHeight="1" x14ac:dyDescent="0.25">
      <c r="B1500" s="9" t="s">
        <v>1435</v>
      </c>
      <c r="C1500" s="10"/>
      <c r="D1500" s="11">
        <v>16640000</v>
      </c>
      <c r="E1500" s="11">
        <f>+D1500</f>
        <v>16640000</v>
      </c>
      <c r="F1500" s="11"/>
      <c r="G1500" s="11"/>
      <c r="H1500" s="11"/>
      <c r="I1500" s="11"/>
      <c r="J1500" s="11"/>
      <c r="K1500" s="11"/>
      <c r="L1500" s="11">
        <f>+D1500</f>
        <v>16640000</v>
      </c>
      <c r="M1500" s="12"/>
      <c r="N1500" s="12"/>
      <c r="P1500" s="55"/>
      <c r="Q1500" s="55"/>
      <c r="R1500" s="14"/>
      <c r="S1500" s="14"/>
    </row>
    <row r="1501" spans="2:19" ht="12.95" hidden="1" customHeight="1" x14ac:dyDescent="0.25">
      <c r="B1501" s="16">
        <v>43446.125</v>
      </c>
      <c r="C1501" s="50" t="s">
        <v>1436</v>
      </c>
      <c r="D1501" s="34"/>
      <c r="E1501" s="37">
        <v>8320000</v>
      </c>
      <c r="F1501" s="37"/>
      <c r="G1501" s="37">
        <f>+E1501</f>
        <v>8320000</v>
      </c>
      <c r="H1501" s="64"/>
      <c r="I1501" s="64">
        <v>326193.90000000002</v>
      </c>
      <c r="J1501" s="64">
        <v>71208.88</v>
      </c>
      <c r="K1501" s="18">
        <f>+G1501-H1501-I1501-J1501</f>
        <v>7922597.2199999997</v>
      </c>
      <c r="L1501" s="19">
        <f>+L1500-G1501</f>
        <v>8320000</v>
      </c>
      <c r="M1501" s="20"/>
      <c r="N1501" s="20"/>
      <c r="O1501" s="81">
        <f>+L1502-'[1]ANEXO 7 - PPTO VIG 2018'!T60</f>
        <v>0</v>
      </c>
      <c r="P1501" s="55"/>
      <c r="Q1501" s="55"/>
      <c r="R1501" s="14"/>
      <c r="S1501" s="14"/>
    </row>
    <row r="1502" spans="2:19" ht="12.95" hidden="1" customHeight="1" x14ac:dyDescent="0.25">
      <c r="B1502" s="16">
        <v>43481.125</v>
      </c>
      <c r="C1502" s="50" t="s">
        <v>1437</v>
      </c>
      <c r="D1502" s="34"/>
      <c r="E1502" s="37">
        <v>8320000</v>
      </c>
      <c r="F1502" s="37"/>
      <c r="G1502" s="37">
        <f>+E1502</f>
        <v>8320000</v>
      </c>
      <c r="H1502" s="64"/>
      <c r="I1502" s="64">
        <v>306086.21000000002</v>
      </c>
      <c r="J1502" s="64">
        <v>71208.88</v>
      </c>
      <c r="K1502" s="18">
        <f>+G1502-H1502-I1502-J1502</f>
        <v>7942704.9100000001</v>
      </c>
      <c r="L1502" s="19">
        <f>+L1501-G1502</f>
        <v>0</v>
      </c>
      <c r="M1502" s="20"/>
      <c r="N1502" s="20"/>
      <c r="O1502" s="81"/>
      <c r="P1502" s="55"/>
      <c r="Q1502" s="55"/>
      <c r="R1502" s="14"/>
      <c r="S1502" s="14"/>
    </row>
    <row r="1503" spans="2:19" ht="12.95" hidden="1" customHeight="1" x14ac:dyDescent="0.25">
      <c r="B1503" s="9" t="s">
        <v>1438</v>
      </c>
      <c r="C1503" s="10"/>
      <c r="D1503" s="11">
        <v>386853031.81</v>
      </c>
      <c r="E1503" s="11">
        <f>+D1503</f>
        <v>386853031.81</v>
      </c>
      <c r="F1503" s="11"/>
      <c r="G1503" s="11"/>
      <c r="H1503" s="11"/>
      <c r="I1503" s="11"/>
      <c r="J1503" s="11"/>
      <c r="K1503" s="11"/>
      <c r="L1503" s="11">
        <f>+D1503</f>
        <v>386853031.81</v>
      </c>
      <c r="M1503" s="12"/>
      <c r="N1503" s="12"/>
      <c r="P1503" s="55"/>
      <c r="Q1503" s="55"/>
      <c r="R1503" s="14"/>
      <c r="S1503" s="14"/>
    </row>
    <row r="1504" spans="2:19" ht="12.95" hidden="1" customHeight="1" x14ac:dyDescent="0.25">
      <c r="B1504" s="16">
        <v>43448.125</v>
      </c>
      <c r="C1504" s="50" t="s">
        <v>1439</v>
      </c>
      <c r="D1504" s="34"/>
      <c r="E1504" s="37">
        <v>236443777</v>
      </c>
      <c r="F1504" s="37"/>
      <c r="G1504" s="37">
        <f>+E1504</f>
        <v>236443777</v>
      </c>
      <c r="H1504" s="64">
        <v>277304.55</v>
      </c>
      <c r="I1504" s="64">
        <v>1070298.02</v>
      </c>
      <c r="J1504" s="64">
        <v>93991.63</v>
      </c>
      <c r="K1504" s="18">
        <f>+G1504-H1504-I1504-J1504</f>
        <v>235002182.79999998</v>
      </c>
      <c r="L1504" s="19">
        <f>+L1503-G1504</f>
        <v>150409254.81</v>
      </c>
      <c r="M1504" s="20"/>
      <c r="N1504" s="20"/>
      <c r="O1504" s="81">
        <f>+L1506-'[1]ANEXO 7 - PPTO VIG 2018'!T25-'[1]ANEXO 7 - PPTO VIG 2018'!T15</f>
        <v>0</v>
      </c>
      <c r="P1504" s="55"/>
      <c r="Q1504" s="55"/>
      <c r="R1504" s="14"/>
      <c r="S1504" s="14"/>
    </row>
    <row r="1505" spans="2:19" ht="12.95" hidden="1" customHeight="1" x14ac:dyDescent="0.25">
      <c r="B1505" s="16">
        <v>43467.125</v>
      </c>
      <c r="C1505" s="50" t="s">
        <v>1440</v>
      </c>
      <c r="D1505" s="34"/>
      <c r="E1505" s="37">
        <v>78459503</v>
      </c>
      <c r="F1505" s="37"/>
      <c r="G1505" s="37">
        <f>+E1505</f>
        <v>78459503</v>
      </c>
      <c r="H1505" s="64">
        <v>89479.65</v>
      </c>
      <c r="I1505" s="64">
        <v>345359.96</v>
      </c>
      <c r="J1505" s="64">
        <v>30328.880000000001</v>
      </c>
      <c r="K1505" s="18">
        <f>+G1505-H1505-I1505-J1505</f>
        <v>77994334.510000005</v>
      </c>
      <c r="L1505" s="19">
        <f>+L1504-G1505</f>
        <v>71949751.810000002</v>
      </c>
      <c r="M1505" s="20"/>
      <c r="N1505" s="20"/>
      <c r="O1505" s="81"/>
      <c r="P1505" s="55"/>
      <c r="Q1505" s="55"/>
      <c r="R1505" s="14"/>
      <c r="S1505" s="14"/>
    </row>
    <row r="1506" spans="2:19" ht="12.95" hidden="1" customHeight="1" x14ac:dyDescent="0.25">
      <c r="B1506" s="16">
        <v>43497.125</v>
      </c>
      <c r="C1506" s="50" t="s">
        <v>1441</v>
      </c>
      <c r="D1506" s="34"/>
      <c r="E1506" s="37">
        <v>71949751</v>
      </c>
      <c r="F1506" s="37"/>
      <c r="G1506" s="37">
        <f>+E1506</f>
        <v>71949751</v>
      </c>
      <c r="H1506" s="64">
        <v>0</v>
      </c>
      <c r="I1506" s="64">
        <v>0</v>
      </c>
      <c r="J1506" s="64">
        <v>0</v>
      </c>
      <c r="K1506" s="18">
        <f>+G1506-H1506-I1506-J1506</f>
        <v>71949751</v>
      </c>
      <c r="L1506" s="19">
        <f>+L1505-G1506</f>
        <v>0.81000000238418579</v>
      </c>
      <c r="M1506" s="20"/>
      <c r="N1506" s="20"/>
      <c r="O1506" s="81"/>
      <c r="P1506" s="55"/>
      <c r="Q1506" s="55"/>
      <c r="R1506" s="14"/>
      <c r="S1506" s="14"/>
    </row>
    <row r="1507" spans="2:19" ht="12.95" hidden="1" customHeight="1" x14ac:dyDescent="0.25">
      <c r="B1507" s="9" t="s">
        <v>1442</v>
      </c>
      <c r="C1507" s="10"/>
      <c r="D1507" s="11">
        <v>16640000</v>
      </c>
      <c r="E1507" s="11">
        <f>+D1507</f>
        <v>16640000</v>
      </c>
      <c r="F1507" s="11"/>
      <c r="G1507" s="11"/>
      <c r="H1507" s="11"/>
      <c r="I1507" s="11"/>
      <c r="J1507" s="11"/>
      <c r="K1507" s="11"/>
      <c r="L1507" s="11">
        <f>+D1507</f>
        <v>16640000</v>
      </c>
      <c r="M1507" s="12"/>
      <c r="N1507" s="12"/>
      <c r="P1507" s="55"/>
      <c r="Q1507" s="55"/>
      <c r="R1507" s="14"/>
      <c r="S1507" s="14"/>
    </row>
    <row r="1508" spans="2:19" ht="12.95" hidden="1" customHeight="1" x14ac:dyDescent="0.25">
      <c r="B1508" s="16">
        <v>43453.125</v>
      </c>
      <c r="C1508" s="50" t="s">
        <v>1443</v>
      </c>
      <c r="D1508" s="34"/>
      <c r="E1508" s="37">
        <v>8320000</v>
      </c>
      <c r="F1508" s="37"/>
      <c r="G1508" s="37">
        <f>+E1508</f>
        <v>8320000</v>
      </c>
      <c r="H1508" s="64"/>
      <c r="I1508" s="64">
        <v>330936.3</v>
      </c>
      <c r="J1508" s="64">
        <v>71208.88</v>
      </c>
      <c r="K1508" s="18">
        <f>+G1508-H1508-I1508-J1508</f>
        <v>7917854.8200000003</v>
      </c>
      <c r="L1508" s="19">
        <f>+L1507-G1508</f>
        <v>8320000</v>
      </c>
      <c r="M1508" s="20"/>
      <c r="N1508" s="20"/>
      <c r="O1508" s="81">
        <f>+L1509-'[1]ANEXO 7 - PPTO VIG 2018'!T82</f>
        <v>0</v>
      </c>
      <c r="P1508" s="55"/>
      <c r="Q1508" s="55"/>
      <c r="R1508" s="14"/>
      <c r="S1508" s="14"/>
    </row>
    <row r="1509" spans="2:19" ht="12.95" hidden="1" customHeight="1" x14ac:dyDescent="0.25">
      <c r="B1509" s="16">
        <v>43468.125</v>
      </c>
      <c r="C1509" s="50" t="s">
        <v>1444</v>
      </c>
      <c r="D1509" s="34"/>
      <c r="E1509" s="37">
        <v>8320000</v>
      </c>
      <c r="F1509" s="37"/>
      <c r="G1509" s="37">
        <f>+E1509</f>
        <v>8320000</v>
      </c>
      <c r="H1509" s="64"/>
      <c r="I1509" s="64">
        <v>326193.90000000002</v>
      </c>
      <c r="J1509" s="64">
        <v>71208.88</v>
      </c>
      <c r="K1509" s="18">
        <f>+G1509-H1509-I1509-J1509</f>
        <v>7922597.2199999997</v>
      </c>
      <c r="L1509" s="19">
        <f>+L1508-G1509</f>
        <v>0</v>
      </c>
      <c r="M1509" s="20"/>
      <c r="N1509" s="20"/>
      <c r="O1509" s="81"/>
      <c r="P1509" s="55"/>
      <c r="Q1509" s="55"/>
      <c r="R1509" s="14"/>
      <c r="S1509" s="14"/>
    </row>
    <row r="1510" spans="2:19" ht="12.95" hidden="1" customHeight="1" x14ac:dyDescent="0.25">
      <c r="B1510" s="9" t="s">
        <v>1445</v>
      </c>
      <c r="C1510" s="10"/>
      <c r="D1510" s="11">
        <v>18260000</v>
      </c>
      <c r="E1510" s="11">
        <f>+D1510</f>
        <v>18260000</v>
      </c>
      <c r="F1510" s="11"/>
      <c r="G1510" s="11"/>
      <c r="H1510" s="11"/>
      <c r="I1510" s="11"/>
      <c r="J1510" s="11"/>
      <c r="K1510" s="11"/>
      <c r="L1510" s="11">
        <f>+D1510</f>
        <v>18260000</v>
      </c>
      <c r="M1510" s="12"/>
      <c r="N1510" s="12"/>
      <c r="P1510" s="55"/>
      <c r="Q1510" s="55"/>
      <c r="R1510" s="14"/>
      <c r="S1510" s="14"/>
    </row>
    <row r="1511" spans="2:19" ht="12.95" hidden="1" customHeight="1" x14ac:dyDescent="0.25">
      <c r="B1511" s="16">
        <v>43453.125</v>
      </c>
      <c r="C1511" s="50" t="s">
        <v>1446</v>
      </c>
      <c r="D1511" s="34"/>
      <c r="E1511" s="37">
        <v>8300000</v>
      </c>
      <c r="F1511" s="37"/>
      <c r="G1511" s="37">
        <f>+E1511</f>
        <v>8300000</v>
      </c>
      <c r="H1511" s="64">
        <v>198781.5</v>
      </c>
      <c r="I1511" s="64">
        <v>767226.9</v>
      </c>
      <c r="J1511" s="64">
        <v>67376.47</v>
      </c>
      <c r="K1511" s="18">
        <f>+G1511-H1511-I1511-J1511</f>
        <v>7266615.1299999999</v>
      </c>
      <c r="L1511" s="19">
        <f>+L1510-G1511</f>
        <v>9960000</v>
      </c>
      <c r="M1511" s="20"/>
      <c r="N1511" s="20"/>
      <c r="O1511" s="81">
        <f>+L1514-'[1]ANEXO 7 - PPTO VIG 2018'!T16</f>
        <v>0</v>
      </c>
      <c r="P1511" s="55"/>
      <c r="Q1511" s="55"/>
      <c r="R1511" s="14"/>
      <c r="S1511" s="14"/>
    </row>
    <row r="1512" spans="2:19" ht="12.95" hidden="1" customHeight="1" x14ac:dyDescent="0.25">
      <c r="B1512" s="16">
        <v>43488.125</v>
      </c>
      <c r="C1512" s="50" t="s">
        <v>1447</v>
      </c>
      <c r="D1512" s="34"/>
      <c r="E1512" s="37">
        <v>8300000</v>
      </c>
      <c r="F1512" s="37"/>
      <c r="G1512" s="37">
        <f>+E1512</f>
        <v>8300000</v>
      </c>
      <c r="H1512" s="64">
        <v>198781.5</v>
      </c>
      <c r="I1512" s="64">
        <v>767226.9</v>
      </c>
      <c r="J1512" s="64">
        <v>67376.47</v>
      </c>
      <c r="K1512" s="18">
        <f>+G1512-H1512-I1512-J1512</f>
        <v>7266615.1299999999</v>
      </c>
      <c r="L1512" s="19">
        <f>+L1511-G1512</f>
        <v>1660000</v>
      </c>
      <c r="M1512" s="20"/>
      <c r="N1512" s="20"/>
      <c r="O1512" s="81"/>
      <c r="P1512" s="55"/>
      <c r="Q1512" s="55"/>
      <c r="R1512" s="14"/>
      <c r="S1512" s="14"/>
    </row>
    <row r="1513" spans="2:19" ht="12.95" hidden="1" customHeight="1" x14ac:dyDescent="0.25">
      <c r="B1513" s="16">
        <v>43488.125</v>
      </c>
      <c r="C1513" s="50" t="s">
        <v>1448</v>
      </c>
      <c r="D1513" s="34"/>
      <c r="E1513" s="37">
        <v>830000</v>
      </c>
      <c r="F1513" s="37"/>
      <c r="G1513" s="37">
        <f>+E1513</f>
        <v>830000</v>
      </c>
      <c r="H1513" s="64">
        <v>19878.150000000001</v>
      </c>
      <c r="I1513" s="64">
        <v>76722.69</v>
      </c>
      <c r="J1513" s="64">
        <v>6737.65</v>
      </c>
      <c r="K1513" s="18">
        <f>+G1513-H1513-I1513-J1513</f>
        <v>726661.50999999989</v>
      </c>
      <c r="L1513" s="19">
        <f>+L1512-G1513</f>
        <v>830000</v>
      </c>
      <c r="M1513" s="20"/>
      <c r="N1513" s="20"/>
      <c r="O1513" s="81"/>
      <c r="P1513" s="55"/>
      <c r="Q1513" s="55"/>
      <c r="R1513" s="14"/>
      <c r="S1513" s="14"/>
    </row>
    <row r="1514" spans="2:19" ht="12.95" hidden="1" customHeight="1" x14ac:dyDescent="0.25">
      <c r="B1514" s="16">
        <v>43488.125</v>
      </c>
      <c r="C1514" s="50" t="s">
        <v>654</v>
      </c>
      <c r="D1514" s="34"/>
      <c r="E1514" s="37">
        <v>830000</v>
      </c>
      <c r="F1514" s="37"/>
      <c r="G1514" s="37">
        <f>+E1514</f>
        <v>830000</v>
      </c>
      <c r="H1514" s="64"/>
      <c r="I1514" s="64"/>
      <c r="J1514" s="64"/>
      <c r="K1514" s="18"/>
      <c r="L1514" s="19">
        <f>+L1513-E1514</f>
        <v>0</v>
      </c>
      <c r="M1514" s="20"/>
      <c r="N1514" s="20"/>
      <c r="O1514" s="81"/>
      <c r="P1514" s="55"/>
      <c r="Q1514" s="55"/>
      <c r="R1514" s="14"/>
      <c r="S1514" s="14"/>
    </row>
    <row r="1515" spans="2:19" ht="12.95" hidden="1" customHeight="1" x14ac:dyDescent="0.25">
      <c r="B1515" s="9" t="s">
        <v>1449</v>
      </c>
      <c r="C1515" s="10"/>
      <c r="D1515" s="11">
        <v>8493333</v>
      </c>
      <c r="E1515" s="11">
        <f>+D1515</f>
        <v>8493333</v>
      </c>
      <c r="F1515" s="11"/>
      <c r="G1515" s="11"/>
      <c r="H1515" s="11"/>
      <c r="I1515" s="11"/>
      <c r="J1515" s="11"/>
      <c r="K1515" s="11"/>
      <c r="L1515" s="11">
        <f>+D1515</f>
        <v>8493333</v>
      </c>
      <c r="M1515" s="12"/>
      <c r="N1515" s="12"/>
      <c r="P1515" s="55"/>
      <c r="Q1515" s="55"/>
      <c r="R1515" s="14"/>
      <c r="S1515" s="14"/>
    </row>
    <row r="1516" spans="2:19" ht="12.95" hidden="1" customHeight="1" x14ac:dyDescent="0.25">
      <c r="B1516" s="16">
        <v>43453.125</v>
      </c>
      <c r="C1516" s="50" t="s">
        <v>1450</v>
      </c>
      <c r="D1516" s="34"/>
      <c r="E1516" s="37">
        <v>3640000</v>
      </c>
      <c r="F1516" s="37"/>
      <c r="G1516" s="37">
        <f>+E1516</f>
        <v>3640000</v>
      </c>
      <c r="H1516" s="64"/>
      <c r="I1516" s="64"/>
      <c r="J1516" s="64">
        <v>31153.89</v>
      </c>
      <c r="K1516" s="18">
        <f>+G1516-H1516-I1516-J1516</f>
        <v>3608846.11</v>
      </c>
      <c r="L1516" s="19">
        <f>+L1515-G1516</f>
        <v>4853333</v>
      </c>
      <c r="M1516" s="20"/>
      <c r="N1516" s="20"/>
      <c r="O1516" s="81">
        <f>+L1519-'[1]ANEXO 7 - PPTO VIG 2018'!T47</f>
        <v>0</v>
      </c>
      <c r="P1516" s="55"/>
      <c r="Q1516" s="55"/>
      <c r="R1516" s="14"/>
      <c r="S1516" s="14"/>
    </row>
    <row r="1517" spans="2:19" ht="12.95" hidden="1" customHeight="1" x14ac:dyDescent="0.25">
      <c r="B1517" s="16">
        <v>43454.125</v>
      </c>
      <c r="C1517" s="50" t="s">
        <v>1451</v>
      </c>
      <c r="D1517" s="34"/>
      <c r="E1517" s="37">
        <v>970666</v>
      </c>
      <c r="F1517" s="37"/>
      <c r="G1517" s="37">
        <f>+E1517</f>
        <v>970666</v>
      </c>
      <c r="H1517" s="64"/>
      <c r="I1517" s="64"/>
      <c r="J1517" s="64">
        <v>8307.7000000000007</v>
      </c>
      <c r="K1517" s="18">
        <f>+G1517-H1517-I1517-J1517</f>
        <v>962358.3</v>
      </c>
      <c r="L1517" s="19">
        <f>+L1516-G1517</f>
        <v>3882667</v>
      </c>
      <c r="M1517" s="20"/>
      <c r="N1517" s="20"/>
      <c r="O1517" s="81"/>
      <c r="P1517" s="55"/>
      <c r="Q1517" s="55"/>
      <c r="R1517" s="14"/>
      <c r="S1517" s="14"/>
    </row>
    <row r="1518" spans="2:19" ht="12.95" hidden="1" customHeight="1" x14ac:dyDescent="0.25">
      <c r="B1518" s="16">
        <v>43488.125</v>
      </c>
      <c r="C1518" s="50" t="s">
        <v>1452</v>
      </c>
      <c r="D1518" s="34"/>
      <c r="E1518" s="37">
        <v>3640000</v>
      </c>
      <c r="F1518" s="37"/>
      <c r="G1518" s="37">
        <f>+E1518</f>
        <v>3640000</v>
      </c>
      <c r="H1518" s="64"/>
      <c r="I1518" s="64"/>
      <c r="J1518" s="64">
        <v>0</v>
      </c>
      <c r="K1518" s="18">
        <f>+G1518-H1518-I1518-J1518</f>
        <v>3640000</v>
      </c>
      <c r="L1518" s="19">
        <f>+L1517-G1518</f>
        <v>242667</v>
      </c>
      <c r="M1518" s="20"/>
      <c r="N1518" s="20"/>
      <c r="O1518" s="81"/>
      <c r="P1518" s="55"/>
      <c r="Q1518" s="55"/>
      <c r="R1518" s="14"/>
      <c r="S1518" s="14"/>
    </row>
    <row r="1519" spans="2:19" ht="12.95" hidden="1" customHeight="1" x14ac:dyDescent="0.25">
      <c r="B1519" s="16">
        <v>43488.125</v>
      </c>
      <c r="C1519" s="50" t="s">
        <v>654</v>
      </c>
      <c r="D1519" s="34"/>
      <c r="E1519" s="37">
        <v>242667</v>
      </c>
      <c r="F1519" s="37"/>
      <c r="G1519" s="37">
        <f>+E1519</f>
        <v>242667</v>
      </c>
      <c r="H1519" s="64"/>
      <c r="I1519" s="64"/>
      <c r="J1519" s="64"/>
      <c r="K1519" s="18"/>
      <c r="L1519" s="19">
        <f>+L1518-E1519</f>
        <v>0</v>
      </c>
      <c r="M1519" s="20"/>
      <c r="N1519" s="20"/>
      <c r="O1519" s="81"/>
      <c r="P1519" s="55"/>
      <c r="Q1519" s="55"/>
      <c r="R1519" s="14"/>
      <c r="S1519" s="14"/>
    </row>
    <row r="1520" spans="2:19" ht="12.95" hidden="1" customHeight="1" x14ac:dyDescent="0.25">
      <c r="B1520" s="9" t="s">
        <v>1453</v>
      </c>
      <c r="C1520" s="10"/>
      <c r="D1520" s="11">
        <v>12792000</v>
      </c>
      <c r="E1520" s="11">
        <f>+D1520</f>
        <v>12792000</v>
      </c>
      <c r="F1520" s="11"/>
      <c r="G1520" s="11"/>
      <c r="H1520" s="11"/>
      <c r="I1520" s="11"/>
      <c r="J1520" s="11"/>
      <c r="K1520" s="11"/>
      <c r="L1520" s="11">
        <f>+D1520</f>
        <v>12792000</v>
      </c>
      <c r="M1520" s="12"/>
      <c r="N1520" s="12"/>
      <c r="P1520" s="55"/>
      <c r="Q1520" s="55"/>
      <c r="R1520" s="14"/>
      <c r="S1520" s="14"/>
    </row>
    <row r="1521" spans="2:19" ht="12.75" hidden="1" customHeight="1" x14ac:dyDescent="0.25">
      <c r="B1521" s="16">
        <v>43455.125</v>
      </c>
      <c r="C1521" s="50" t="s">
        <v>1454</v>
      </c>
      <c r="D1521" s="34"/>
      <c r="E1521" s="37">
        <v>2808000</v>
      </c>
      <c r="F1521" s="37"/>
      <c r="G1521" s="37">
        <f>+E1521</f>
        <v>2808000</v>
      </c>
      <c r="H1521" s="64"/>
      <c r="I1521" s="64"/>
      <c r="J1521" s="64">
        <v>24033</v>
      </c>
      <c r="K1521" s="18">
        <f>+G1521-H1521-I1521-J1521</f>
        <v>2783967</v>
      </c>
      <c r="L1521" s="19">
        <f>+L1520-G1521</f>
        <v>9984000</v>
      </c>
      <c r="M1521" s="20"/>
      <c r="N1521" s="20"/>
      <c r="O1521" s="81">
        <f>+L1523-'[1]ANEXO 7 - PPTO VIG 2018'!T49</f>
        <v>0</v>
      </c>
      <c r="P1521" s="55"/>
      <c r="Q1521" s="55"/>
      <c r="R1521" s="14"/>
      <c r="S1521" s="14"/>
    </row>
    <row r="1522" spans="2:19" ht="12.75" hidden="1" customHeight="1" x14ac:dyDescent="0.25">
      <c r="B1522" s="16">
        <v>43490.125</v>
      </c>
      <c r="C1522" s="50" t="s">
        <v>1455</v>
      </c>
      <c r="D1522" s="34"/>
      <c r="E1522" s="37">
        <v>9360000</v>
      </c>
      <c r="F1522" s="37"/>
      <c r="G1522" s="37">
        <f>+E1522</f>
        <v>9360000</v>
      </c>
      <c r="H1522" s="64"/>
      <c r="I1522" s="64">
        <v>444205.58</v>
      </c>
      <c r="J1522" s="64">
        <v>80109.990000000005</v>
      </c>
      <c r="K1522" s="18">
        <f>+G1522-H1522-I1522-J1522</f>
        <v>8835684.4299999997</v>
      </c>
      <c r="L1522" s="19">
        <f>+L1521-G1522</f>
        <v>624000</v>
      </c>
      <c r="M1522" s="20"/>
      <c r="N1522" s="20"/>
      <c r="O1522" s="81"/>
      <c r="P1522" s="55"/>
      <c r="Q1522" s="55"/>
      <c r="R1522" s="14"/>
      <c r="S1522" s="14"/>
    </row>
    <row r="1523" spans="2:19" ht="12.75" hidden="1" customHeight="1" x14ac:dyDescent="0.25">
      <c r="B1523" s="16">
        <v>43490.125</v>
      </c>
      <c r="C1523" s="50" t="s">
        <v>654</v>
      </c>
      <c r="D1523" s="34"/>
      <c r="E1523" s="37">
        <v>624000</v>
      </c>
      <c r="F1523" s="37"/>
      <c r="G1523" s="37">
        <f>+E1523</f>
        <v>624000</v>
      </c>
      <c r="H1523" s="64"/>
      <c r="I1523" s="64"/>
      <c r="J1523" s="64"/>
      <c r="K1523" s="18"/>
      <c r="L1523" s="19">
        <f>+L1522-E1523</f>
        <v>0</v>
      </c>
      <c r="M1523" s="20"/>
      <c r="N1523" s="20"/>
      <c r="O1523" s="81"/>
      <c r="P1523" s="55"/>
      <c r="Q1523" s="55"/>
      <c r="R1523" s="14"/>
      <c r="S1523" s="14"/>
    </row>
    <row r="1524" spans="2:19" ht="12.95" hidden="1" customHeight="1" x14ac:dyDescent="0.25">
      <c r="B1524" s="9" t="s">
        <v>1456</v>
      </c>
      <c r="C1524" s="10"/>
      <c r="D1524" s="11">
        <v>14560000</v>
      </c>
      <c r="E1524" s="11">
        <f>+D1524</f>
        <v>14560000</v>
      </c>
      <c r="F1524" s="11"/>
      <c r="G1524" s="11"/>
      <c r="H1524" s="11"/>
      <c r="I1524" s="11"/>
      <c r="J1524" s="11"/>
      <c r="K1524" s="11"/>
      <c r="L1524" s="11">
        <f>+D1524</f>
        <v>14560000</v>
      </c>
      <c r="M1524" s="12"/>
      <c r="N1524" s="12"/>
      <c r="P1524" s="55"/>
      <c r="Q1524" s="55"/>
      <c r="R1524" s="14"/>
      <c r="S1524" s="14"/>
    </row>
    <row r="1525" spans="2:19" ht="12.95" hidden="1" customHeight="1" x14ac:dyDescent="0.25">
      <c r="B1525" s="16">
        <v>43458.125</v>
      </c>
      <c r="C1525" s="50" t="s">
        <v>1457</v>
      </c>
      <c r="D1525" s="34"/>
      <c r="E1525" s="37">
        <v>1248000</v>
      </c>
      <c r="F1525" s="37"/>
      <c r="G1525" s="37">
        <f>+E1525</f>
        <v>1248000</v>
      </c>
      <c r="H1525" s="64"/>
      <c r="I1525" s="64"/>
      <c r="J1525" s="64">
        <v>10681.33</v>
      </c>
      <c r="K1525" s="18">
        <f>+G1525-H1525-I1525-J1525</f>
        <v>1237318.67</v>
      </c>
      <c r="L1525" s="19">
        <f>+L1524-G1525</f>
        <v>13312000</v>
      </c>
      <c r="M1525" s="20"/>
      <c r="N1525" s="20"/>
      <c r="O1525" s="81">
        <f>+L1529-'[1]ANEXO 7 - PPTO VIG 2018'!T81</f>
        <v>0</v>
      </c>
      <c r="P1525" s="55"/>
      <c r="Q1525" s="55"/>
      <c r="R1525" s="14"/>
      <c r="S1525" s="14"/>
    </row>
    <row r="1526" spans="2:19" ht="12.95" hidden="1" customHeight="1" x14ac:dyDescent="0.25">
      <c r="B1526" s="16">
        <v>43469.125</v>
      </c>
      <c r="C1526" s="50" t="s">
        <v>1458</v>
      </c>
      <c r="D1526" s="34"/>
      <c r="E1526" s="37">
        <v>4160000</v>
      </c>
      <c r="F1526" s="37"/>
      <c r="G1526" s="37">
        <f>+E1526</f>
        <v>4160000</v>
      </c>
      <c r="H1526" s="64"/>
      <c r="I1526" s="64"/>
      <c r="J1526" s="64">
        <v>0</v>
      </c>
      <c r="K1526" s="18">
        <f>+G1526-H1526-I1526-J1526</f>
        <v>4160000</v>
      </c>
      <c r="L1526" s="19">
        <f>+L1525-G1526</f>
        <v>9152000</v>
      </c>
      <c r="M1526" s="20"/>
      <c r="N1526" s="20"/>
      <c r="O1526" s="81"/>
      <c r="P1526" s="55"/>
      <c r="Q1526" s="55"/>
      <c r="R1526" s="14"/>
      <c r="S1526" s="14"/>
    </row>
    <row r="1527" spans="2:19" ht="12.95" hidden="1" customHeight="1" x14ac:dyDescent="0.25">
      <c r="B1527" s="16">
        <v>43469.125</v>
      </c>
      <c r="C1527" s="50" t="s">
        <v>1459</v>
      </c>
      <c r="D1527" s="34"/>
      <c r="E1527" s="37">
        <v>4160000</v>
      </c>
      <c r="F1527" s="37"/>
      <c r="G1527" s="37">
        <f>+E1527</f>
        <v>4160000</v>
      </c>
      <c r="H1527" s="64"/>
      <c r="I1527" s="64"/>
      <c r="J1527" s="64">
        <v>0</v>
      </c>
      <c r="K1527" s="18">
        <f>+G1527-H1527-I1527-J1527</f>
        <v>4160000</v>
      </c>
      <c r="L1527" s="19">
        <f>+L1526-G1527</f>
        <v>4992000</v>
      </c>
      <c r="M1527" s="20"/>
      <c r="N1527" s="20"/>
      <c r="O1527" s="81"/>
      <c r="P1527" s="55"/>
      <c r="Q1527" s="55"/>
      <c r="R1527" s="14"/>
      <c r="S1527" s="14"/>
    </row>
    <row r="1528" spans="2:19" ht="12.95" hidden="1" customHeight="1" x14ac:dyDescent="0.25">
      <c r="B1528" s="16">
        <v>43473.125</v>
      </c>
      <c r="C1528" s="50" t="s">
        <v>1460</v>
      </c>
      <c r="D1528" s="34"/>
      <c r="E1528" s="37">
        <v>4160000</v>
      </c>
      <c r="F1528" s="37"/>
      <c r="G1528" s="37">
        <f>+E1528</f>
        <v>4160000</v>
      </c>
      <c r="H1528" s="64"/>
      <c r="I1528" s="64"/>
      <c r="J1528" s="64">
        <v>0</v>
      </c>
      <c r="K1528" s="18">
        <f>+G1528-H1528-I1528-J1528</f>
        <v>4160000</v>
      </c>
      <c r="L1528" s="19">
        <f>+L1527-G1528</f>
        <v>832000</v>
      </c>
      <c r="M1528" s="20"/>
      <c r="N1528" s="20"/>
      <c r="O1528" s="81"/>
      <c r="P1528" s="55"/>
      <c r="Q1528" s="55"/>
      <c r="R1528" s="14"/>
      <c r="S1528" s="14"/>
    </row>
    <row r="1529" spans="2:19" ht="12.95" hidden="1" customHeight="1" x14ac:dyDescent="0.25">
      <c r="B1529" s="16">
        <v>43473.125</v>
      </c>
      <c r="C1529" s="50" t="s">
        <v>654</v>
      </c>
      <c r="D1529" s="34"/>
      <c r="E1529" s="37">
        <v>832000</v>
      </c>
      <c r="F1529" s="37"/>
      <c r="G1529" s="37"/>
      <c r="H1529" s="64"/>
      <c r="I1529" s="64"/>
      <c r="J1529" s="64"/>
      <c r="K1529" s="18"/>
      <c r="L1529" s="19">
        <f>+L1528-E1529</f>
        <v>0</v>
      </c>
      <c r="M1529" s="20"/>
      <c r="N1529" s="20"/>
      <c r="O1529" s="81"/>
      <c r="P1529" s="55"/>
      <c r="Q1529" s="55"/>
      <c r="R1529" s="14"/>
      <c r="S1529" s="14"/>
    </row>
    <row r="1530" spans="2:19" ht="12.95" hidden="1" customHeight="1" x14ac:dyDescent="0.25">
      <c r="B1530" s="9" t="s">
        <v>1461</v>
      </c>
      <c r="C1530" s="10"/>
      <c r="D1530" s="11">
        <v>16640000</v>
      </c>
      <c r="E1530" s="11">
        <f>+D1530</f>
        <v>16640000</v>
      </c>
      <c r="F1530" s="11"/>
      <c r="G1530" s="11"/>
      <c r="H1530" s="11"/>
      <c r="I1530" s="11"/>
      <c r="J1530" s="11"/>
      <c r="K1530" s="11"/>
      <c r="L1530" s="11">
        <f>+D1530</f>
        <v>16640000</v>
      </c>
      <c r="M1530" s="12"/>
      <c r="N1530" s="12"/>
      <c r="P1530" s="55"/>
      <c r="Q1530" s="55"/>
      <c r="R1530" s="14"/>
      <c r="S1530" s="14"/>
    </row>
    <row r="1531" spans="2:19" ht="12.95" hidden="1" customHeight="1" x14ac:dyDescent="0.25">
      <c r="B1531" s="16">
        <v>43467.125</v>
      </c>
      <c r="C1531" s="50" t="s">
        <v>1462</v>
      </c>
      <c r="D1531" s="34"/>
      <c r="E1531" s="37">
        <v>8320000</v>
      </c>
      <c r="F1531" s="37"/>
      <c r="G1531" s="37">
        <f>+E1531</f>
        <v>8320000</v>
      </c>
      <c r="H1531" s="64"/>
      <c r="I1531" s="64">
        <v>483789.84</v>
      </c>
      <c r="J1531" s="64">
        <v>76352.639999999999</v>
      </c>
      <c r="K1531" s="18">
        <f>+G1531-H1531-I1531-J1531</f>
        <v>7759857.5200000005</v>
      </c>
      <c r="L1531" s="19">
        <f>+L1530-G1531</f>
        <v>8320000</v>
      </c>
      <c r="M1531" s="20"/>
      <c r="N1531" s="20"/>
      <c r="O1531" s="81">
        <f>+L1532-'[1]ANEXO 7 - PPTO VIG 2018'!T48</f>
        <v>0</v>
      </c>
      <c r="P1531" s="55"/>
      <c r="Q1531" s="55"/>
      <c r="R1531" s="14"/>
      <c r="S1531" s="14"/>
    </row>
    <row r="1532" spans="2:19" ht="12.95" hidden="1" customHeight="1" x14ac:dyDescent="0.25">
      <c r="B1532" s="16">
        <v>43503.125</v>
      </c>
      <c r="C1532" s="50" t="s">
        <v>1463</v>
      </c>
      <c r="D1532" s="34"/>
      <c r="E1532" s="37">
        <v>8320000</v>
      </c>
      <c r="F1532" s="37"/>
      <c r="G1532" s="37">
        <f>+E1532</f>
        <v>8320000</v>
      </c>
      <c r="H1532" s="64"/>
      <c r="I1532" s="64">
        <v>444398.8</v>
      </c>
      <c r="J1532" s="64">
        <v>76352.639999999999</v>
      </c>
      <c r="K1532" s="18">
        <f>+G1532-H1532-I1532-J1532</f>
        <v>7799248.5600000005</v>
      </c>
      <c r="L1532" s="19">
        <f>+L1531-G1532</f>
        <v>0</v>
      </c>
      <c r="M1532" s="20"/>
      <c r="N1532" s="20"/>
      <c r="O1532" s="81"/>
      <c r="P1532" s="55"/>
      <c r="Q1532" s="55"/>
      <c r="R1532" s="14"/>
      <c r="S1532" s="14"/>
    </row>
    <row r="1533" spans="2:19" ht="12.75" hidden="1" customHeight="1" x14ac:dyDescent="0.25">
      <c r="B1533" s="9" t="s">
        <v>1464</v>
      </c>
      <c r="C1533" s="10"/>
      <c r="D1533" s="11">
        <v>82900000</v>
      </c>
      <c r="E1533" s="11">
        <f>+D1533</f>
        <v>82900000</v>
      </c>
      <c r="F1533" s="11"/>
      <c r="G1533" s="11"/>
      <c r="H1533" s="11"/>
      <c r="I1533" s="11"/>
      <c r="J1533" s="11"/>
      <c r="K1533" s="11"/>
      <c r="L1533" s="11">
        <f>+D1533</f>
        <v>82900000</v>
      </c>
      <c r="M1533" s="12"/>
      <c r="N1533" s="12"/>
      <c r="P1533" s="55"/>
      <c r="Q1533" s="55"/>
      <c r="R1533" s="14"/>
      <c r="S1533" s="14"/>
    </row>
    <row r="1534" spans="2:19" ht="12.95" hidden="1" customHeight="1" x14ac:dyDescent="0.25">
      <c r="B1534" s="16">
        <v>43504.125</v>
      </c>
      <c r="C1534" s="50" t="s">
        <v>1465</v>
      </c>
      <c r="D1534" s="34"/>
      <c r="E1534" s="37">
        <v>3526667</v>
      </c>
      <c r="F1534" s="37"/>
      <c r="G1534" s="37">
        <f t="shared" ref="G1534:G1545" si="270">+E1534</f>
        <v>3526667</v>
      </c>
      <c r="H1534" s="64"/>
      <c r="I1534" s="64"/>
      <c r="J1534" s="64">
        <v>30183.9</v>
      </c>
      <c r="K1534" s="18">
        <f t="shared" ref="K1534:K1545" si="271">+G1534-H1534-I1534-J1534</f>
        <v>3496483.1</v>
      </c>
      <c r="L1534" s="19">
        <f t="shared" ref="L1534:L1545" si="272">+L1533-G1534</f>
        <v>79373333</v>
      </c>
      <c r="M1534" s="20"/>
      <c r="N1534" s="20"/>
      <c r="O1534" s="81">
        <f>+L1546-'[1]ANEXO 7 - PPTO VIG 2019'!T11</f>
        <v>0</v>
      </c>
      <c r="P1534" s="55"/>
      <c r="Q1534" s="55"/>
      <c r="R1534" s="14"/>
      <c r="S1534" s="14"/>
    </row>
    <row r="1535" spans="2:19" ht="12.95" hidden="1" customHeight="1" x14ac:dyDescent="0.25">
      <c r="B1535" s="16">
        <v>43528.125</v>
      </c>
      <c r="C1535" s="50" t="s">
        <v>1466</v>
      </c>
      <c r="D1535" s="34"/>
      <c r="E1535" s="37">
        <v>4600000</v>
      </c>
      <c r="F1535" s="37"/>
      <c r="G1535" s="37">
        <f t="shared" si="270"/>
        <v>4600000</v>
      </c>
      <c r="H1535" s="64"/>
      <c r="I1535" s="64"/>
      <c r="J1535" s="64">
        <v>39370.300000000003</v>
      </c>
      <c r="K1535" s="18">
        <f t="shared" si="271"/>
        <v>4560629.7</v>
      </c>
      <c r="L1535" s="19">
        <f t="shared" si="272"/>
        <v>74773333</v>
      </c>
      <c r="M1535" s="20"/>
      <c r="N1535" s="20"/>
      <c r="O1535" s="81"/>
      <c r="P1535" s="55"/>
      <c r="Q1535" s="55"/>
      <c r="R1535" s="14"/>
      <c r="S1535" s="14"/>
    </row>
    <row r="1536" spans="2:19" ht="12.95" hidden="1" customHeight="1" x14ac:dyDescent="0.25">
      <c r="B1536" s="16">
        <v>43558.083333333336</v>
      </c>
      <c r="C1536" s="50" t="s">
        <v>1467</v>
      </c>
      <c r="D1536" s="34"/>
      <c r="E1536" s="37">
        <v>4600000</v>
      </c>
      <c r="F1536" s="37"/>
      <c r="G1536" s="37">
        <f t="shared" si="270"/>
        <v>4600000</v>
      </c>
      <c r="H1536" s="64"/>
      <c r="I1536" s="64">
        <v>12907.66</v>
      </c>
      <c r="J1536" s="64">
        <v>39370.300000000003</v>
      </c>
      <c r="K1536" s="18">
        <f t="shared" si="271"/>
        <v>4547722.04</v>
      </c>
      <c r="L1536" s="19">
        <f t="shared" si="272"/>
        <v>70173333</v>
      </c>
      <c r="M1536" s="20"/>
      <c r="N1536" s="20"/>
      <c r="O1536" s="81"/>
      <c r="P1536" s="55"/>
      <c r="Q1536" s="55"/>
      <c r="R1536" s="14"/>
      <c r="S1536" s="14"/>
    </row>
    <row r="1537" spans="2:19" ht="12.95" hidden="1" customHeight="1" x14ac:dyDescent="0.25">
      <c r="B1537" s="16">
        <v>43588.083333333336</v>
      </c>
      <c r="C1537" s="50" t="s">
        <v>1468</v>
      </c>
      <c r="D1537" s="34"/>
      <c r="E1537" s="37">
        <v>4600000</v>
      </c>
      <c r="F1537" s="37"/>
      <c r="G1537" s="37">
        <f t="shared" si="270"/>
        <v>4600000</v>
      </c>
      <c r="H1537" s="64"/>
      <c r="I1537" s="64">
        <v>12907.66</v>
      </c>
      <c r="J1537" s="64">
        <v>39370.300000000003</v>
      </c>
      <c r="K1537" s="18">
        <f t="shared" si="271"/>
        <v>4547722.04</v>
      </c>
      <c r="L1537" s="19">
        <f t="shared" si="272"/>
        <v>65573333</v>
      </c>
      <c r="M1537" s="20"/>
      <c r="N1537" s="20"/>
      <c r="O1537" s="81"/>
      <c r="P1537" s="55"/>
      <c r="Q1537" s="55"/>
      <c r="R1537" s="14"/>
      <c r="S1537" s="14"/>
    </row>
    <row r="1538" spans="2:19" ht="12.95" hidden="1" customHeight="1" x14ac:dyDescent="0.25">
      <c r="B1538" s="16">
        <v>43620.083333333336</v>
      </c>
      <c r="C1538" s="50" t="s">
        <v>1469</v>
      </c>
      <c r="D1538" s="34"/>
      <c r="E1538" s="37">
        <v>4600000</v>
      </c>
      <c r="F1538" s="37"/>
      <c r="G1538" s="37">
        <f t="shared" si="270"/>
        <v>4600000</v>
      </c>
      <c r="H1538" s="64"/>
      <c r="I1538" s="64">
        <v>12907.66</v>
      </c>
      <c r="J1538" s="64">
        <v>39370.300000000003</v>
      </c>
      <c r="K1538" s="18">
        <f t="shared" si="271"/>
        <v>4547722.04</v>
      </c>
      <c r="L1538" s="19">
        <f t="shared" si="272"/>
        <v>60973333</v>
      </c>
      <c r="M1538" s="20"/>
      <c r="N1538" s="20"/>
      <c r="O1538" s="81"/>
      <c r="P1538" s="55"/>
      <c r="Q1538" s="55"/>
      <c r="R1538" s="14"/>
      <c r="S1538" s="14"/>
    </row>
    <row r="1539" spans="2:19" ht="12.95" hidden="1" customHeight="1" x14ac:dyDescent="0.25">
      <c r="B1539" s="16">
        <v>43655.083333333336</v>
      </c>
      <c r="C1539" s="50" t="s">
        <v>1470</v>
      </c>
      <c r="D1539" s="34"/>
      <c r="E1539" s="37">
        <v>4600000</v>
      </c>
      <c r="F1539" s="37"/>
      <c r="G1539" s="37">
        <f t="shared" si="270"/>
        <v>4600000</v>
      </c>
      <c r="H1539" s="64"/>
      <c r="I1539" s="64">
        <v>12907.66</v>
      </c>
      <c r="J1539" s="64">
        <v>39370.300000000003</v>
      </c>
      <c r="K1539" s="18">
        <f t="shared" si="271"/>
        <v>4547722.04</v>
      </c>
      <c r="L1539" s="19">
        <f t="shared" si="272"/>
        <v>56373333</v>
      </c>
      <c r="M1539" s="20"/>
      <c r="N1539" s="20"/>
      <c r="O1539" s="81"/>
      <c r="P1539" s="55"/>
      <c r="Q1539" s="55"/>
      <c r="R1539" s="14"/>
      <c r="S1539" s="14"/>
    </row>
    <row r="1540" spans="2:19" ht="12.95" hidden="1" customHeight="1" x14ac:dyDescent="0.25">
      <c r="B1540" s="16">
        <v>43689.083333333336</v>
      </c>
      <c r="C1540" s="50" t="s">
        <v>1471</v>
      </c>
      <c r="D1540" s="34"/>
      <c r="E1540" s="37">
        <v>4600000</v>
      </c>
      <c r="F1540" s="37"/>
      <c r="G1540" s="37">
        <f t="shared" si="270"/>
        <v>4600000</v>
      </c>
      <c r="H1540" s="64"/>
      <c r="I1540" s="64">
        <v>12907.66</v>
      </c>
      <c r="J1540" s="64">
        <v>39370.300000000003</v>
      </c>
      <c r="K1540" s="18">
        <f t="shared" si="271"/>
        <v>4547722.04</v>
      </c>
      <c r="L1540" s="19">
        <f t="shared" si="272"/>
        <v>51773333</v>
      </c>
      <c r="M1540" s="20"/>
      <c r="N1540" s="20"/>
      <c r="O1540" s="81"/>
      <c r="P1540" s="85"/>
      <c r="Q1540" s="85"/>
      <c r="R1540" s="14"/>
      <c r="S1540" s="14"/>
    </row>
    <row r="1541" spans="2:19" ht="12.95" hidden="1" customHeight="1" x14ac:dyDescent="0.25">
      <c r="B1541" s="16">
        <v>43707.083333333336</v>
      </c>
      <c r="C1541" s="50" t="s">
        <v>1472</v>
      </c>
      <c r="D1541" s="34"/>
      <c r="E1541" s="37">
        <v>4600000</v>
      </c>
      <c r="F1541" s="37"/>
      <c r="G1541" s="37">
        <f t="shared" si="270"/>
        <v>4600000</v>
      </c>
      <c r="H1541" s="64"/>
      <c r="I1541" s="64">
        <v>12907.66</v>
      </c>
      <c r="J1541" s="64">
        <v>39370.300000000003</v>
      </c>
      <c r="K1541" s="18">
        <f t="shared" si="271"/>
        <v>4547722.04</v>
      </c>
      <c r="L1541" s="19">
        <f t="shared" si="272"/>
        <v>47173333</v>
      </c>
      <c r="M1541" s="20"/>
      <c r="N1541" s="20"/>
      <c r="O1541" s="81"/>
      <c r="P1541" s="85"/>
      <c r="Q1541" s="85"/>
      <c r="R1541" s="14"/>
      <c r="S1541" s="14"/>
    </row>
    <row r="1542" spans="2:19" ht="12.95" hidden="1" customHeight="1" x14ac:dyDescent="0.25">
      <c r="B1542" s="16">
        <v>43740</v>
      </c>
      <c r="C1542" s="50" t="s">
        <v>1473</v>
      </c>
      <c r="D1542" s="34"/>
      <c r="E1542" s="37">
        <v>4600000</v>
      </c>
      <c r="F1542" s="37"/>
      <c r="G1542" s="37">
        <f t="shared" si="270"/>
        <v>4600000</v>
      </c>
      <c r="H1542" s="64"/>
      <c r="I1542" s="64">
        <v>12907.66</v>
      </c>
      <c r="J1542" s="64">
        <v>39370.300000000003</v>
      </c>
      <c r="K1542" s="18">
        <f t="shared" si="271"/>
        <v>4547722.04</v>
      </c>
      <c r="L1542" s="19">
        <f t="shared" si="272"/>
        <v>42573333</v>
      </c>
      <c r="M1542" s="20"/>
      <c r="N1542" s="20"/>
      <c r="O1542" s="81"/>
      <c r="P1542" s="85"/>
      <c r="Q1542" s="85"/>
      <c r="R1542" s="14"/>
      <c r="S1542" s="14"/>
    </row>
    <row r="1543" spans="2:19" ht="12.95" hidden="1" customHeight="1" x14ac:dyDescent="0.25">
      <c r="B1543" s="16">
        <v>43770.083333333336</v>
      </c>
      <c r="C1543" s="50" t="s">
        <v>1474</v>
      </c>
      <c r="D1543" s="34"/>
      <c r="E1543" s="37">
        <v>4600000</v>
      </c>
      <c r="F1543" s="37"/>
      <c r="G1543" s="37">
        <f t="shared" si="270"/>
        <v>4600000</v>
      </c>
      <c r="H1543" s="64"/>
      <c r="I1543" s="64">
        <v>12907.66</v>
      </c>
      <c r="J1543" s="64">
        <v>39370.300000000003</v>
      </c>
      <c r="K1543" s="18">
        <f t="shared" si="271"/>
        <v>4547722.04</v>
      </c>
      <c r="L1543" s="19">
        <f t="shared" si="272"/>
        <v>37973333</v>
      </c>
      <c r="M1543" s="20"/>
      <c r="N1543" s="20"/>
      <c r="O1543" s="81"/>
      <c r="P1543" s="85"/>
      <c r="Q1543" s="85"/>
      <c r="R1543" s="14"/>
      <c r="S1543" s="14"/>
    </row>
    <row r="1544" spans="2:19" ht="12.95" hidden="1" customHeight="1" x14ac:dyDescent="0.25">
      <c r="B1544" s="16">
        <v>43802.125</v>
      </c>
      <c r="C1544" s="50" t="s">
        <v>1475</v>
      </c>
      <c r="D1544" s="34"/>
      <c r="E1544" s="37">
        <v>4600000</v>
      </c>
      <c r="F1544" s="37"/>
      <c r="G1544" s="37">
        <f t="shared" si="270"/>
        <v>4600000</v>
      </c>
      <c r="H1544" s="64"/>
      <c r="I1544" s="64">
        <v>12907.66</v>
      </c>
      <c r="J1544" s="64">
        <v>39370.300000000003</v>
      </c>
      <c r="K1544" s="18">
        <f t="shared" si="271"/>
        <v>4547722.04</v>
      </c>
      <c r="L1544" s="19">
        <f t="shared" si="272"/>
        <v>33373333</v>
      </c>
      <c r="M1544" s="20"/>
      <c r="N1544" s="20"/>
      <c r="O1544" s="81"/>
      <c r="P1544" s="85"/>
      <c r="Q1544" s="85"/>
      <c r="R1544" s="14"/>
      <c r="S1544" s="14"/>
    </row>
    <row r="1545" spans="2:19" ht="12.95" hidden="1" customHeight="1" x14ac:dyDescent="0.25">
      <c r="B1545" s="16">
        <v>43823.125</v>
      </c>
      <c r="C1545" s="50" t="s">
        <v>1476</v>
      </c>
      <c r="D1545" s="34"/>
      <c r="E1545" s="37">
        <v>3373333</v>
      </c>
      <c r="F1545" s="37"/>
      <c r="G1545" s="37">
        <f t="shared" si="270"/>
        <v>3373333</v>
      </c>
      <c r="H1545" s="64"/>
      <c r="I1545" s="64"/>
      <c r="J1545" s="64">
        <v>28871.55</v>
      </c>
      <c r="K1545" s="18">
        <f t="shared" si="271"/>
        <v>3344461.45</v>
      </c>
      <c r="L1545" s="19">
        <f t="shared" si="272"/>
        <v>30000000</v>
      </c>
      <c r="M1545" s="20"/>
      <c r="N1545" s="20"/>
      <c r="O1545" s="81"/>
      <c r="P1545" s="85"/>
      <c r="Q1545" s="85"/>
      <c r="R1545" s="14"/>
      <c r="S1545" s="14"/>
    </row>
    <row r="1546" spans="2:19" ht="12.95" hidden="1" customHeight="1" x14ac:dyDescent="0.25">
      <c r="B1546" s="16"/>
      <c r="C1546" s="50" t="s">
        <v>654</v>
      </c>
      <c r="D1546" s="34"/>
      <c r="E1546" s="37">
        <v>30000000</v>
      </c>
      <c r="F1546" s="37"/>
      <c r="G1546" s="37"/>
      <c r="H1546" s="64"/>
      <c r="I1546" s="64"/>
      <c r="J1546" s="64"/>
      <c r="K1546" s="18"/>
      <c r="L1546" s="19">
        <f>+L1545-E1546</f>
        <v>0</v>
      </c>
      <c r="M1546" s="20"/>
      <c r="N1546" s="20"/>
      <c r="O1546" s="81"/>
      <c r="P1546" s="85"/>
      <c r="Q1546" s="85"/>
      <c r="R1546" s="14"/>
      <c r="S1546" s="14"/>
    </row>
    <row r="1547" spans="2:19" ht="12.95" hidden="1" customHeight="1" x14ac:dyDescent="0.25">
      <c r="B1547" s="9" t="s">
        <v>1477</v>
      </c>
      <c r="C1547" s="10"/>
      <c r="D1547" s="11">
        <v>107640000</v>
      </c>
      <c r="E1547" s="11">
        <f>+D1547</f>
        <v>107640000</v>
      </c>
      <c r="F1547" s="11"/>
      <c r="G1547" s="11"/>
      <c r="H1547" s="11"/>
      <c r="I1547" s="11"/>
      <c r="J1547" s="11"/>
      <c r="K1547" s="11"/>
      <c r="L1547" s="11">
        <f>+D1547</f>
        <v>107640000</v>
      </c>
      <c r="M1547" s="12"/>
      <c r="N1547" s="12"/>
      <c r="P1547" s="55"/>
      <c r="Q1547" s="55"/>
      <c r="R1547" s="14"/>
      <c r="S1547" s="14"/>
    </row>
    <row r="1548" spans="2:19" ht="15" hidden="1" x14ac:dyDescent="0.25">
      <c r="B1548" s="16">
        <v>43509.125</v>
      </c>
      <c r="C1548" s="87" t="s">
        <v>1478</v>
      </c>
      <c r="D1548" s="34"/>
      <c r="E1548" s="37">
        <v>2184000</v>
      </c>
      <c r="F1548" s="37"/>
      <c r="G1548" s="37">
        <f t="shared" ref="G1548:G1559" si="273">+E1548</f>
        <v>2184000</v>
      </c>
      <c r="H1548" s="64"/>
      <c r="I1548" s="64"/>
      <c r="J1548" s="64">
        <v>20535.23</v>
      </c>
      <c r="K1548" s="18">
        <f t="shared" ref="K1548:K1559" si="274">+G1548-H1548-I1548-J1548</f>
        <v>2163464.77</v>
      </c>
      <c r="L1548" s="19">
        <f t="shared" ref="L1548:L1559" si="275">+L1547-G1548</f>
        <v>105456000</v>
      </c>
      <c r="M1548" s="20"/>
      <c r="N1548" s="20"/>
      <c r="O1548" s="81">
        <f>+L1560-'[1]ANEXO 7 - PPTO VIG 2019'!T91</f>
        <v>0</v>
      </c>
      <c r="P1548" s="55"/>
      <c r="Q1548" s="55"/>
      <c r="R1548" s="14"/>
      <c r="S1548" s="14"/>
    </row>
    <row r="1549" spans="2:19" ht="15" hidden="1" x14ac:dyDescent="0.25">
      <c r="B1549" s="16">
        <v>43546.083333333336</v>
      </c>
      <c r="C1549" s="87" t="s">
        <v>1479</v>
      </c>
      <c r="D1549" s="34"/>
      <c r="E1549" s="37">
        <v>9360000</v>
      </c>
      <c r="F1549" s="37"/>
      <c r="G1549" s="37">
        <f t="shared" si="273"/>
        <v>9360000</v>
      </c>
      <c r="H1549" s="64"/>
      <c r="I1549" s="64">
        <v>518612.19</v>
      </c>
      <c r="J1549" s="64">
        <v>80109.990000000005</v>
      </c>
      <c r="K1549" s="18">
        <f t="shared" si="274"/>
        <v>8761277.8200000003</v>
      </c>
      <c r="L1549" s="19">
        <f t="shared" si="275"/>
        <v>96096000</v>
      </c>
      <c r="M1549" s="20"/>
      <c r="N1549" s="20"/>
      <c r="O1549" s="81"/>
      <c r="P1549" s="55"/>
      <c r="Q1549" s="55"/>
      <c r="R1549" s="14"/>
      <c r="S1549" s="14"/>
    </row>
    <row r="1550" spans="2:19" ht="15" hidden="1" x14ac:dyDescent="0.25">
      <c r="B1550" s="16">
        <v>43563.083333333336</v>
      </c>
      <c r="C1550" s="87" t="s">
        <v>1480</v>
      </c>
      <c r="D1550" s="34"/>
      <c r="E1550" s="37">
        <v>9360000</v>
      </c>
      <c r="F1550" s="37"/>
      <c r="G1550" s="37">
        <f t="shared" si="273"/>
        <v>9360000</v>
      </c>
      <c r="H1550" s="64"/>
      <c r="I1550" s="64">
        <v>518612.19</v>
      </c>
      <c r="J1550" s="64">
        <v>80109.990000000005</v>
      </c>
      <c r="K1550" s="18">
        <f t="shared" si="274"/>
        <v>8761277.8200000003</v>
      </c>
      <c r="L1550" s="19">
        <f t="shared" si="275"/>
        <v>86736000</v>
      </c>
      <c r="M1550" s="20"/>
      <c r="N1550" s="20"/>
      <c r="O1550" s="81"/>
      <c r="P1550" s="55"/>
      <c r="Q1550" s="55"/>
      <c r="R1550" s="14"/>
      <c r="S1550" s="14"/>
    </row>
    <row r="1551" spans="2:19" ht="15" hidden="1" x14ac:dyDescent="0.25">
      <c r="B1551" s="16">
        <v>43599.083333333336</v>
      </c>
      <c r="C1551" s="87" t="s">
        <v>1481</v>
      </c>
      <c r="D1551" s="34"/>
      <c r="E1551" s="37">
        <v>9360000</v>
      </c>
      <c r="F1551" s="37"/>
      <c r="G1551" s="37">
        <f t="shared" si="273"/>
        <v>9360000</v>
      </c>
      <c r="H1551" s="64"/>
      <c r="I1551" s="64">
        <v>518612.19</v>
      </c>
      <c r="J1551" s="64">
        <v>80109.990000000005</v>
      </c>
      <c r="K1551" s="18">
        <f t="shared" si="274"/>
        <v>8761277.8200000003</v>
      </c>
      <c r="L1551" s="19">
        <f t="shared" si="275"/>
        <v>77376000</v>
      </c>
      <c r="M1551" s="20"/>
      <c r="N1551" s="20"/>
      <c r="O1551" s="81"/>
      <c r="P1551" s="55"/>
      <c r="Q1551" s="55"/>
      <c r="R1551" s="14"/>
      <c r="S1551" s="14"/>
    </row>
    <row r="1552" spans="2:19" ht="15" hidden="1" x14ac:dyDescent="0.25">
      <c r="B1552" s="16">
        <v>43626.083333333336</v>
      </c>
      <c r="C1552" s="87" t="s">
        <v>1482</v>
      </c>
      <c r="D1552" s="34"/>
      <c r="E1552" s="37">
        <v>9360000</v>
      </c>
      <c r="F1552" s="37"/>
      <c r="G1552" s="37">
        <f t="shared" si="273"/>
        <v>9360000</v>
      </c>
      <c r="H1552" s="64"/>
      <c r="I1552" s="64">
        <v>518612.19</v>
      </c>
      <c r="J1552" s="64">
        <v>80109.990000000005</v>
      </c>
      <c r="K1552" s="18">
        <f t="shared" si="274"/>
        <v>8761277.8200000003</v>
      </c>
      <c r="L1552" s="19">
        <f t="shared" si="275"/>
        <v>68016000</v>
      </c>
      <c r="M1552" s="20"/>
      <c r="N1552" s="20"/>
      <c r="O1552" s="81"/>
      <c r="P1552" s="55"/>
      <c r="Q1552" s="55"/>
      <c r="R1552" s="14"/>
      <c r="S1552" s="14"/>
    </row>
    <row r="1553" spans="2:19" ht="15" hidden="1" x14ac:dyDescent="0.25">
      <c r="B1553" s="16">
        <v>43662.083333333336</v>
      </c>
      <c r="C1553" s="87" t="s">
        <v>1483</v>
      </c>
      <c r="D1553" s="34"/>
      <c r="E1553" s="37">
        <v>9360000</v>
      </c>
      <c r="F1553" s="37"/>
      <c r="G1553" s="37">
        <f t="shared" si="273"/>
        <v>9360000</v>
      </c>
      <c r="H1553" s="64"/>
      <c r="I1553" s="64">
        <v>518612.19</v>
      </c>
      <c r="J1553" s="64">
        <v>80109.990000000005</v>
      </c>
      <c r="K1553" s="18">
        <f t="shared" si="274"/>
        <v>8761277.8200000003</v>
      </c>
      <c r="L1553" s="19">
        <f t="shared" si="275"/>
        <v>58656000</v>
      </c>
      <c r="M1553" s="20"/>
      <c r="N1553" s="20"/>
      <c r="O1553" s="81"/>
      <c r="P1553" s="55"/>
      <c r="Q1553" s="55"/>
      <c r="R1553" s="14"/>
      <c r="S1553" s="14"/>
    </row>
    <row r="1554" spans="2:19" ht="15" hidden="1" x14ac:dyDescent="0.25">
      <c r="B1554" s="16">
        <v>43692.083333333336</v>
      </c>
      <c r="C1554" s="87" t="s">
        <v>1484</v>
      </c>
      <c r="D1554" s="34"/>
      <c r="E1554" s="37">
        <v>9360000</v>
      </c>
      <c r="F1554" s="37"/>
      <c r="G1554" s="37">
        <f t="shared" si="273"/>
        <v>9360000</v>
      </c>
      <c r="H1554" s="64"/>
      <c r="I1554" s="64">
        <v>713030.19</v>
      </c>
      <c r="J1554" s="64">
        <v>80109.990000000005</v>
      </c>
      <c r="K1554" s="18">
        <f t="shared" si="274"/>
        <v>8566859.8200000003</v>
      </c>
      <c r="L1554" s="19">
        <f t="shared" si="275"/>
        <v>49296000</v>
      </c>
      <c r="M1554" s="20"/>
      <c r="N1554" s="20"/>
      <c r="O1554" s="81"/>
      <c r="P1554" s="85"/>
      <c r="Q1554" s="85"/>
      <c r="R1554" s="14"/>
      <c r="S1554" s="14"/>
    </row>
    <row r="1555" spans="2:19" ht="15" hidden="1" x14ac:dyDescent="0.25">
      <c r="B1555" s="16">
        <v>43717.083333333336</v>
      </c>
      <c r="C1555" s="87" t="s">
        <v>1485</v>
      </c>
      <c r="D1555" s="34"/>
      <c r="E1555" s="37">
        <v>9360000</v>
      </c>
      <c r="F1555" s="37"/>
      <c r="G1555" s="37">
        <f t="shared" si="273"/>
        <v>9360000</v>
      </c>
      <c r="H1555" s="88"/>
      <c r="I1555" s="64">
        <v>715172.2</v>
      </c>
      <c r="J1555" s="64">
        <v>80109.990000000005</v>
      </c>
      <c r="K1555" s="18">
        <f t="shared" si="274"/>
        <v>8564717.8100000005</v>
      </c>
      <c r="L1555" s="19">
        <f t="shared" si="275"/>
        <v>39936000</v>
      </c>
      <c r="M1555" s="20"/>
      <c r="N1555" s="20"/>
      <c r="O1555" s="81"/>
      <c r="P1555" s="85"/>
      <c r="Q1555" s="85"/>
      <c r="R1555" s="14"/>
      <c r="S1555" s="14"/>
    </row>
    <row r="1556" spans="2:19" ht="15" hidden="1" x14ac:dyDescent="0.25">
      <c r="B1556" s="16">
        <v>43746</v>
      </c>
      <c r="C1556" s="87" t="s">
        <v>1486</v>
      </c>
      <c r="D1556" s="34"/>
      <c r="E1556" s="37">
        <v>9360000</v>
      </c>
      <c r="F1556" s="37"/>
      <c r="G1556" s="37">
        <f t="shared" si="273"/>
        <v>9360000</v>
      </c>
      <c r="H1556" s="64"/>
      <c r="I1556" s="64">
        <v>712547.19</v>
      </c>
      <c r="J1556" s="64">
        <v>80109.990000000005</v>
      </c>
      <c r="K1556" s="18">
        <f t="shared" si="274"/>
        <v>8567342.8200000003</v>
      </c>
      <c r="L1556" s="19">
        <f t="shared" si="275"/>
        <v>30576000</v>
      </c>
      <c r="M1556" s="20"/>
      <c r="N1556" s="20"/>
      <c r="O1556" s="81"/>
      <c r="P1556" s="85"/>
      <c r="Q1556" s="85"/>
      <c r="R1556" s="14"/>
      <c r="S1556" s="14"/>
    </row>
    <row r="1557" spans="2:19" ht="15" hidden="1" x14ac:dyDescent="0.25">
      <c r="B1557" s="16">
        <v>43770.083333333336</v>
      </c>
      <c r="C1557" s="87" t="s">
        <v>1487</v>
      </c>
      <c r="D1557" s="34"/>
      <c r="E1557" s="37">
        <v>9360000</v>
      </c>
      <c r="F1557" s="37"/>
      <c r="G1557" s="37">
        <f t="shared" si="273"/>
        <v>9360000</v>
      </c>
      <c r="H1557" s="64"/>
      <c r="I1557" s="64">
        <v>715172.2</v>
      </c>
      <c r="J1557" s="64">
        <v>80109.990000000005</v>
      </c>
      <c r="K1557" s="18">
        <f t="shared" si="274"/>
        <v>8564717.8100000005</v>
      </c>
      <c r="L1557" s="19">
        <f t="shared" si="275"/>
        <v>21216000</v>
      </c>
      <c r="M1557" s="20"/>
      <c r="N1557" s="20"/>
      <c r="O1557" s="81"/>
      <c r="P1557" s="85"/>
      <c r="Q1557" s="85"/>
      <c r="R1557" s="14"/>
      <c r="S1557" s="14"/>
    </row>
    <row r="1558" spans="2:19" ht="15" hidden="1" x14ac:dyDescent="0.25">
      <c r="B1558" s="16">
        <v>43802.125</v>
      </c>
      <c r="C1558" s="87" t="s">
        <v>1488</v>
      </c>
      <c r="D1558" s="34"/>
      <c r="E1558" s="37">
        <v>9360000</v>
      </c>
      <c r="F1558" s="37"/>
      <c r="G1558" s="37">
        <f t="shared" si="273"/>
        <v>9360000</v>
      </c>
      <c r="H1558" s="64"/>
      <c r="I1558" s="64">
        <v>705827.18</v>
      </c>
      <c r="J1558" s="64">
        <v>80109.990000000005</v>
      </c>
      <c r="K1558" s="18">
        <f t="shared" si="274"/>
        <v>8574062.8300000001</v>
      </c>
      <c r="L1558" s="19">
        <f t="shared" si="275"/>
        <v>11856000</v>
      </c>
      <c r="M1558" s="20"/>
      <c r="N1558" s="20"/>
      <c r="O1558" s="81"/>
      <c r="P1558" s="85"/>
      <c r="Q1558" s="85"/>
      <c r="R1558" s="14"/>
      <c r="S1558" s="14"/>
    </row>
    <row r="1559" spans="2:19" ht="15" hidden="1" x14ac:dyDescent="0.25">
      <c r="B1559" s="16">
        <v>43823.125</v>
      </c>
      <c r="C1559" s="87" t="s">
        <v>1489</v>
      </c>
      <c r="D1559" s="34"/>
      <c r="E1559" s="37">
        <v>9360000</v>
      </c>
      <c r="F1559" s="37"/>
      <c r="G1559" s="37">
        <f t="shared" si="273"/>
        <v>9360000</v>
      </c>
      <c r="H1559" s="64"/>
      <c r="I1559" s="64">
        <v>516932.21</v>
      </c>
      <c r="J1559" s="64">
        <v>80109.990000000005</v>
      </c>
      <c r="K1559" s="18">
        <f t="shared" si="274"/>
        <v>8762957.7999999989</v>
      </c>
      <c r="L1559" s="19">
        <f t="shared" si="275"/>
        <v>2496000</v>
      </c>
      <c r="M1559" s="20"/>
      <c r="N1559" s="20"/>
      <c r="O1559" s="81"/>
      <c r="P1559" s="85"/>
      <c r="Q1559" s="85"/>
      <c r="R1559" s="14"/>
      <c r="S1559" s="14"/>
    </row>
    <row r="1560" spans="2:19" ht="15" hidden="1" x14ac:dyDescent="0.25">
      <c r="B1560" s="16"/>
      <c r="C1560" s="87" t="s">
        <v>654</v>
      </c>
      <c r="D1560" s="34"/>
      <c r="E1560" s="37">
        <v>2496000</v>
      </c>
      <c r="F1560" s="37"/>
      <c r="G1560" s="37"/>
      <c r="H1560" s="64"/>
      <c r="I1560" s="64"/>
      <c r="J1560" s="64"/>
      <c r="K1560" s="18"/>
      <c r="L1560" s="19">
        <f>+L1559-E1560</f>
        <v>0</v>
      </c>
      <c r="M1560" s="20"/>
      <c r="N1560" s="20"/>
      <c r="O1560" s="81"/>
      <c r="P1560" s="85"/>
      <c r="Q1560" s="85"/>
      <c r="R1560" s="14"/>
      <c r="S1560" s="14"/>
    </row>
    <row r="1561" spans="2:19" ht="15" hidden="1" x14ac:dyDescent="0.25">
      <c r="B1561" s="9" t="s">
        <v>1490</v>
      </c>
      <c r="C1561" s="10"/>
      <c r="D1561" s="11">
        <v>76000000</v>
      </c>
      <c r="E1561" s="11">
        <f>+D1561</f>
        <v>76000000</v>
      </c>
      <c r="F1561" s="11"/>
      <c r="G1561" s="11"/>
      <c r="H1561" s="11"/>
      <c r="I1561" s="11"/>
      <c r="J1561" s="11"/>
      <c r="K1561" s="11"/>
      <c r="L1561" s="11">
        <f>+D1561</f>
        <v>76000000</v>
      </c>
      <c r="M1561" s="12"/>
      <c r="N1561" s="12"/>
      <c r="P1561" s="55"/>
      <c r="Q1561" s="55"/>
      <c r="R1561" s="14"/>
      <c r="S1561" s="14"/>
    </row>
    <row r="1562" spans="2:19" ht="15" hidden="1" x14ac:dyDescent="0.25">
      <c r="B1562" s="16">
        <v>43504.125</v>
      </c>
      <c r="C1562" s="87" t="s">
        <v>1491</v>
      </c>
      <c r="D1562" s="34"/>
      <c r="E1562" s="37">
        <v>2800000</v>
      </c>
      <c r="F1562" s="37"/>
      <c r="G1562" s="37">
        <f t="shared" ref="G1562:G1573" si="276">+E1562</f>
        <v>2800000</v>
      </c>
      <c r="H1562" s="64"/>
      <c r="I1562" s="64"/>
      <c r="J1562" s="64">
        <v>23964.53</v>
      </c>
      <c r="K1562" s="18">
        <f t="shared" ref="K1562:K1573" si="277">+G1562-H1562-I1562-J1562</f>
        <v>2776035.47</v>
      </c>
      <c r="L1562" s="19">
        <f t="shared" ref="L1562:L1573" si="278">+L1561-G1562</f>
        <v>73200000</v>
      </c>
      <c r="M1562" s="20"/>
      <c r="N1562" s="20"/>
      <c r="O1562" s="81">
        <f>+L1574-'[1]ANEXO 7 - PPTO VIG 2019'!T15</f>
        <v>0</v>
      </c>
      <c r="P1562" s="55"/>
      <c r="Q1562" s="55"/>
      <c r="R1562" s="14"/>
      <c r="S1562" s="14"/>
    </row>
    <row r="1563" spans="2:19" ht="15" hidden="1" x14ac:dyDescent="0.25">
      <c r="B1563" s="16">
        <v>43528.125</v>
      </c>
      <c r="C1563" s="87" t="s">
        <v>1492</v>
      </c>
      <c r="D1563" s="34"/>
      <c r="E1563" s="37">
        <v>4000000</v>
      </c>
      <c r="F1563" s="37"/>
      <c r="G1563" s="37">
        <f t="shared" si="276"/>
        <v>4000000</v>
      </c>
      <c r="H1563" s="64"/>
      <c r="I1563" s="64"/>
      <c r="J1563" s="64">
        <v>34235.040000000001</v>
      </c>
      <c r="K1563" s="18">
        <f t="shared" si="277"/>
        <v>3965764.96</v>
      </c>
      <c r="L1563" s="19">
        <f t="shared" si="278"/>
        <v>69200000</v>
      </c>
      <c r="M1563" s="20"/>
      <c r="N1563" s="20"/>
      <c r="O1563" s="81"/>
      <c r="P1563" s="55"/>
      <c r="Q1563" s="55"/>
      <c r="R1563" s="14"/>
      <c r="S1563" s="14"/>
    </row>
    <row r="1564" spans="2:19" ht="15" hidden="1" x14ac:dyDescent="0.25">
      <c r="B1564" s="16">
        <v>43558.083333333336</v>
      </c>
      <c r="C1564" s="87" t="s">
        <v>1493</v>
      </c>
      <c r="D1564" s="34"/>
      <c r="E1564" s="37">
        <v>4000000</v>
      </c>
      <c r="F1564" s="37"/>
      <c r="G1564" s="37">
        <f t="shared" si="276"/>
        <v>4000000</v>
      </c>
      <c r="H1564" s="64"/>
      <c r="I1564" s="64"/>
      <c r="J1564" s="64">
        <v>34235.040000000001</v>
      </c>
      <c r="K1564" s="18">
        <f t="shared" si="277"/>
        <v>3965764.96</v>
      </c>
      <c r="L1564" s="19">
        <f t="shared" si="278"/>
        <v>65200000</v>
      </c>
      <c r="M1564" s="20"/>
      <c r="N1564" s="20"/>
      <c r="O1564" s="81"/>
      <c r="P1564" s="55"/>
      <c r="Q1564" s="55"/>
      <c r="R1564" s="14"/>
      <c r="S1564" s="14"/>
    </row>
    <row r="1565" spans="2:19" ht="15" hidden="1" x14ac:dyDescent="0.25">
      <c r="B1565" s="16">
        <v>43588.083333333336</v>
      </c>
      <c r="C1565" s="87" t="s">
        <v>1494</v>
      </c>
      <c r="D1565" s="34"/>
      <c r="E1565" s="37">
        <v>4000000</v>
      </c>
      <c r="F1565" s="37"/>
      <c r="G1565" s="37">
        <f t="shared" si="276"/>
        <v>4000000</v>
      </c>
      <c r="H1565" s="64"/>
      <c r="I1565" s="64"/>
      <c r="J1565" s="64">
        <v>34235.040000000001</v>
      </c>
      <c r="K1565" s="18">
        <f t="shared" si="277"/>
        <v>3965764.96</v>
      </c>
      <c r="L1565" s="19">
        <f t="shared" si="278"/>
        <v>61200000</v>
      </c>
      <c r="M1565" s="20"/>
      <c r="N1565" s="20"/>
      <c r="O1565" s="81"/>
      <c r="P1565" s="55"/>
      <c r="Q1565" s="55"/>
      <c r="R1565" s="14"/>
      <c r="S1565" s="14"/>
    </row>
    <row r="1566" spans="2:19" ht="15" hidden="1" x14ac:dyDescent="0.25">
      <c r="B1566" s="16">
        <v>43620.083333333336</v>
      </c>
      <c r="C1566" s="87" t="s">
        <v>1495</v>
      </c>
      <c r="D1566" s="34"/>
      <c r="E1566" s="37">
        <v>4000000</v>
      </c>
      <c r="F1566" s="37"/>
      <c r="G1566" s="37">
        <f t="shared" si="276"/>
        <v>4000000</v>
      </c>
      <c r="H1566" s="64"/>
      <c r="I1566" s="64"/>
      <c r="J1566" s="64">
        <v>34235.040000000001</v>
      </c>
      <c r="K1566" s="18">
        <f t="shared" si="277"/>
        <v>3965764.96</v>
      </c>
      <c r="L1566" s="19">
        <f t="shared" si="278"/>
        <v>57200000</v>
      </c>
      <c r="M1566" s="20"/>
      <c r="N1566" s="20"/>
      <c r="O1566" s="81"/>
      <c r="P1566" s="55"/>
      <c r="Q1566" s="55"/>
      <c r="R1566" s="14"/>
      <c r="S1566" s="14"/>
    </row>
    <row r="1567" spans="2:19" ht="15" hidden="1" x14ac:dyDescent="0.25">
      <c r="B1567" s="16">
        <v>43655.083333333336</v>
      </c>
      <c r="C1567" s="87" t="s">
        <v>1496</v>
      </c>
      <c r="D1567" s="34"/>
      <c r="E1567" s="37">
        <v>4000000</v>
      </c>
      <c r="F1567" s="37"/>
      <c r="G1567" s="37">
        <f t="shared" si="276"/>
        <v>4000000</v>
      </c>
      <c r="H1567" s="64"/>
      <c r="I1567" s="64"/>
      <c r="J1567" s="64">
        <v>34235.040000000001</v>
      </c>
      <c r="K1567" s="18">
        <f t="shared" si="277"/>
        <v>3965764.96</v>
      </c>
      <c r="L1567" s="19">
        <f t="shared" si="278"/>
        <v>53200000</v>
      </c>
      <c r="M1567" s="20"/>
      <c r="N1567" s="20"/>
      <c r="O1567" s="81"/>
      <c r="P1567" s="55"/>
      <c r="Q1567" s="55"/>
      <c r="R1567" s="14"/>
      <c r="S1567" s="14"/>
    </row>
    <row r="1568" spans="2:19" ht="15" hidden="1" x14ac:dyDescent="0.25">
      <c r="B1568" s="16">
        <v>43689.083333333336</v>
      </c>
      <c r="C1568" s="87" t="s">
        <v>1497</v>
      </c>
      <c r="D1568" s="34"/>
      <c r="E1568" s="37">
        <v>4000000</v>
      </c>
      <c r="F1568" s="37"/>
      <c r="G1568" s="37">
        <f t="shared" si="276"/>
        <v>4000000</v>
      </c>
      <c r="H1568" s="64"/>
      <c r="I1568" s="64"/>
      <c r="J1568" s="64">
        <v>34235.040000000001</v>
      </c>
      <c r="K1568" s="18">
        <f t="shared" si="277"/>
        <v>3965764.96</v>
      </c>
      <c r="L1568" s="19">
        <f t="shared" si="278"/>
        <v>49200000</v>
      </c>
      <c r="M1568" s="20"/>
      <c r="N1568" s="20"/>
      <c r="O1568" s="81"/>
      <c r="P1568" s="85"/>
      <c r="Q1568" s="85"/>
      <c r="R1568" s="14"/>
      <c r="S1568" s="14"/>
    </row>
    <row r="1569" spans="2:19" ht="15" hidden="1" x14ac:dyDescent="0.25">
      <c r="B1569" s="16">
        <v>43706.083333333336</v>
      </c>
      <c r="C1569" s="87" t="s">
        <v>1498</v>
      </c>
      <c r="D1569" s="34"/>
      <c r="E1569" s="37">
        <v>4000000</v>
      </c>
      <c r="F1569" s="37"/>
      <c r="G1569" s="37">
        <f t="shared" si="276"/>
        <v>4000000</v>
      </c>
      <c r="H1569" s="64"/>
      <c r="I1569" s="64"/>
      <c r="J1569" s="64">
        <v>34235.040000000001</v>
      </c>
      <c r="K1569" s="18">
        <f t="shared" si="277"/>
        <v>3965764.96</v>
      </c>
      <c r="L1569" s="19">
        <f t="shared" si="278"/>
        <v>45200000</v>
      </c>
      <c r="M1569" s="20"/>
      <c r="N1569" s="20"/>
      <c r="O1569" s="81"/>
      <c r="P1569" s="85"/>
      <c r="Q1569" s="85"/>
      <c r="R1569" s="14"/>
      <c r="S1569" s="14"/>
    </row>
    <row r="1570" spans="2:19" ht="15" hidden="1" x14ac:dyDescent="0.25">
      <c r="B1570" s="16">
        <v>43741</v>
      </c>
      <c r="C1570" s="87" t="s">
        <v>1499</v>
      </c>
      <c r="D1570" s="34"/>
      <c r="E1570" s="37">
        <v>4000000</v>
      </c>
      <c r="F1570" s="37"/>
      <c r="G1570" s="37">
        <f t="shared" si="276"/>
        <v>4000000</v>
      </c>
      <c r="H1570" s="64"/>
      <c r="I1570" s="64"/>
      <c r="J1570" s="64">
        <v>34235.040000000001</v>
      </c>
      <c r="K1570" s="18">
        <f t="shared" si="277"/>
        <v>3965764.96</v>
      </c>
      <c r="L1570" s="19">
        <f t="shared" si="278"/>
        <v>41200000</v>
      </c>
      <c r="M1570" s="20"/>
      <c r="N1570" s="20"/>
      <c r="O1570" s="81"/>
      <c r="P1570" s="85"/>
      <c r="Q1570" s="85"/>
      <c r="R1570" s="14"/>
      <c r="S1570" s="14"/>
    </row>
    <row r="1571" spans="2:19" ht="15" hidden="1" x14ac:dyDescent="0.25">
      <c r="B1571" s="16">
        <v>43770.083333333336</v>
      </c>
      <c r="C1571" s="87" t="s">
        <v>1500</v>
      </c>
      <c r="D1571" s="34"/>
      <c r="E1571" s="37">
        <v>4000000</v>
      </c>
      <c r="F1571" s="37"/>
      <c r="G1571" s="37">
        <f t="shared" si="276"/>
        <v>4000000</v>
      </c>
      <c r="H1571" s="64"/>
      <c r="I1571" s="64"/>
      <c r="J1571" s="64">
        <v>34235.040000000001</v>
      </c>
      <c r="K1571" s="18">
        <f t="shared" si="277"/>
        <v>3965764.96</v>
      </c>
      <c r="L1571" s="19">
        <f t="shared" si="278"/>
        <v>37200000</v>
      </c>
      <c r="M1571" s="20"/>
      <c r="N1571" s="20"/>
      <c r="O1571" s="81"/>
      <c r="P1571" s="85"/>
      <c r="Q1571" s="85"/>
      <c r="R1571" s="14"/>
      <c r="S1571" s="14"/>
    </row>
    <row r="1572" spans="2:19" ht="15" hidden="1" x14ac:dyDescent="0.25">
      <c r="B1572" s="16">
        <v>43802.125</v>
      </c>
      <c r="C1572" s="87" t="s">
        <v>1501</v>
      </c>
      <c r="D1572" s="34"/>
      <c r="E1572" s="37">
        <v>4000000</v>
      </c>
      <c r="F1572" s="37"/>
      <c r="G1572" s="37">
        <f t="shared" si="276"/>
        <v>4000000</v>
      </c>
      <c r="H1572" s="64"/>
      <c r="I1572" s="64"/>
      <c r="J1572" s="64">
        <v>34235.040000000001</v>
      </c>
      <c r="K1572" s="18">
        <f t="shared" si="277"/>
        <v>3965764.96</v>
      </c>
      <c r="L1572" s="19">
        <f t="shared" si="278"/>
        <v>33200000</v>
      </c>
      <c r="M1572" s="20"/>
      <c r="N1572" s="20"/>
      <c r="O1572" s="81"/>
      <c r="P1572" s="85"/>
      <c r="Q1572" s="85"/>
      <c r="R1572" s="14"/>
      <c r="S1572" s="14"/>
    </row>
    <row r="1573" spans="2:19" ht="15" hidden="1" x14ac:dyDescent="0.25">
      <c r="B1573" s="16">
        <v>43823.125</v>
      </c>
      <c r="C1573" s="87" t="s">
        <v>1502</v>
      </c>
      <c r="D1573" s="34"/>
      <c r="E1573" s="37">
        <v>3200000</v>
      </c>
      <c r="F1573" s="37"/>
      <c r="G1573" s="37">
        <f t="shared" si="276"/>
        <v>3200000</v>
      </c>
      <c r="H1573" s="64"/>
      <c r="I1573" s="64"/>
      <c r="J1573" s="64">
        <v>27388.03</v>
      </c>
      <c r="K1573" s="18">
        <f t="shared" si="277"/>
        <v>3172611.97</v>
      </c>
      <c r="L1573" s="19">
        <f t="shared" si="278"/>
        <v>30000000</v>
      </c>
      <c r="M1573" s="20"/>
      <c r="N1573" s="20"/>
      <c r="O1573" s="81"/>
      <c r="P1573" s="85"/>
      <c r="Q1573" s="85"/>
      <c r="R1573" s="14"/>
      <c r="S1573" s="14"/>
    </row>
    <row r="1574" spans="2:19" ht="15" hidden="1" x14ac:dyDescent="0.25">
      <c r="B1574" s="16"/>
      <c r="C1574" s="87" t="s">
        <v>654</v>
      </c>
      <c r="D1574" s="34"/>
      <c r="E1574" s="37">
        <v>30000000</v>
      </c>
      <c r="F1574" s="37"/>
      <c r="G1574" s="37"/>
      <c r="H1574" s="64"/>
      <c r="I1574" s="64"/>
      <c r="J1574" s="64"/>
      <c r="K1574" s="18"/>
      <c r="L1574" s="19">
        <f>+L1573-E1574</f>
        <v>0</v>
      </c>
      <c r="M1574" s="20"/>
      <c r="N1574" s="20"/>
      <c r="O1574" s="81"/>
      <c r="P1574" s="85"/>
      <c r="Q1574" s="85"/>
      <c r="R1574" s="14"/>
      <c r="S1574" s="14"/>
    </row>
    <row r="1575" spans="2:19" ht="15" hidden="1" x14ac:dyDescent="0.25">
      <c r="B1575" s="9" t="s">
        <v>1503</v>
      </c>
      <c r="C1575" s="10"/>
      <c r="D1575" s="11">
        <v>96000000</v>
      </c>
      <c r="E1575" s="11">
        <f>+D1575</f>
        <v>96000000</v>
      </c>
      <c r="F1575" s="11"/>
      <c r="G1575" s="11"/>
      <c r="H1575" s="11"/>
      <c r="I1575" s="11"/>
      <c r="J1575" s="11"/>
      <c r="K1575" s="11"/>
      <c r="L1575" s="11">
        <f>+D1575</f>
        <v>96000000</v>
      </c>
      <c r="M1575" s="12"/>
      <c r="N1575" s="12"/>
      <c r="P1575" s="55"/>
      <c r="Q1575" s="55"/>
      <c r="R1575" s="14"/>
      <c r="S1575" s="14"/>
    </row>
    <row r="1576" spans="2:19" ht="15" hidden="1" x14ac:dyDescent="0.25">
      <c r="B1576" s="16">
        <v>43503.125</v>
      </c>
      <c r="C1576" s="87" t="s">
        <v>1504</v>
      </c>
      <c r="D1576" s="34"/>
      <c r="E1576" s="37">
        <v>7733333</v>
      </c>
      <c r="F1576" s="37"/>
      <c r="G1576" s="37">
        <f t="shared" ref="G1576:G1587" si="279">+E1576</f>
        <v>7733333</v>
      </c>
      <c r="H1576" s="64"/>
      <c r="I1576" s="64">
        <v>355404.47</v>
      </c>
      <c r="J1576" s="64">
        <v>66187.740000000005</v>
      </c>
      <c r="K1576" s="18">
        <f t="shared" ref="K1576:K1587" si="280">+G1576-H1576-I1576-J1576</f>
        <v>7311740.79</v>
      </c>
      <c r="L1576" s="19">
        <f t="shared" ref="L1576:L1587" si="281">+L1575-G1576</f>
        <v>88266667</v>
      </c>
      <c r="M1576" s="20"/>
      <c r="N1576" s="20"/>
      <c r="O1576" s="81">
        <f>+L1588-'[1]ANEXO 7 - PPTO VIG 2019'!T90</f>
        <v>0</v>
      </c>
      <c r="P1576" s="55"/>
      <c r="Q1576" s="55"/>
      <c r="R1576" s="14"/>
      <c r="S1576" s="14"/>
    </row>
    <row r="1577" spans="2:19" ht="15" hidden="1" x14ac:dyDescent="0.25">
      <c r="B1577" s="16">
        <v>43528.125</v>
      </c>
      <c r="C1577" s="87" t="s">
        <v>1505</v>
      </c>
      <c r="D1577" s="34"/>
      <c r="E1577" s="37">
        <v>8000000</v>
      </c>
      <c r="F1577" s="37"/>
      <c r="G1577" s="37">
        <f t="shared" si="279"/>
        <v>8000000</v>
      </c>
      <c r="H1577" s="64"/>
      <c r="I1577" s="64">
        <v>388312</v>
      </c>
      <c r="J1577" s="64">
        <v>68470.080000000002</v>
      </c>
      <c r="K1577" s="18">
        <f t="shared" si="280"/>
        <v>7543217.9199999999</v>
      </c>
      <c r="L1577" s="19">
        <f t="shared" si="281"/>
        <v>80266667</v>
      </c>
      <c r="M1577" s="20"/>
      <c r="N1577" s="20"/>
      <c r="O1577" s="81"/>
      <c r="P1577" s="55"/>
      <c r="Q1577" s="55"/>
      <c r="R1577" s="14"/>
      <c r="S1577" s="14"/>
    </row>
    <row r="1578" spans="2:19" ht="15" hidden="1" x14ac:dyDescent="0.25">
      <c r="B1578" s="16">
        <v>43567.083333333336</v>
      </c>
      <c r="C1578" s="87" t="s">
        <v>1506</v>
      </c>
      <c r="D1578" s="34"/>
      <c r="E1578" s="37">
        <v>8000000</v>
      </c>
      <c r="F1578" s="37"/>
      <c r="G1578" s="37">
        <f t="shared" si="279"/>
        <v>8000000</v>
      </c>
      <c r="H1578" s="64"/>
      <c r="I1578" s="64">
        <v>470560</v>
      </c>
      <c r="J1578" s="64">
        <v>68470.080000000002</v>
      </c>
      <c r="K1578" s="18">
        <f t="shared" si="280"/>
        <v>7460969.9199999999</v>
      </c>
      <c r="L1578" s="19">
        <f t="shared" si="281"/>
        <v>72266667</v>
      </c>
      <c r="M1578" s="20"/>
      <c r="N1578" s="20"/>
      <c r="O1578" s="81"/>
      <c r="P1578" s="55"/>
      <c r="Q1578" s="55"/>
      <c r="R1578" s="14"/>
      <c r="S1578" s="14"/>
    </row>
    <row r="1579" spans="2:19" ht="15" hidden="1" x14ac:dyDescent="0.25">
      <c r="B1579" s="16">
        <v>43595.083333333336</v>
      </c>
      <c r="C1579" s="87" t="s">
        <v>1507</v>
      </c>
      <c r="D1579" s="34"/>
      <c r="E1579" s="37">
        <v>8000000</v>
      </c>
      <c r="F1579" s="37"/>
      <c r="G1579" s="37">
        <f t="shared" si="279"/>
        <v>8000000</v>
      </c>
      <c r="H1579" s="64"/>
      <c r="I1579" s="64">
        <v>470560</v>
      </c>
      <c r="J1579" s="64">
        <v>68470.080000000002</v>
      </c>
      <c r="K1579" s="18">
        <f t="shared" si="280"/>
        <v>7460969.9199999999</v>
      </c>
      <c r="L1579" s="19">
        <f t="shared" si="281"/>
        <v>64266667</v>
      </c>
      <c r="M1579" s="20"/>
      <c r="N1579" s="20"/>
      <c r="O1579" s="81"/>
      <c r="P1579" s="55"/>
      <c r="Q1579" s="55"/>
      <c r="R1579" s="14"/>
      <c r="S1579" s="14"/>
    </row>
    <row r="1580" spans="2:19" ht="15" hidden="1" x14ac:dyDescent="0.25">
      <c r="B1580" s="16">
        <v>43628.083333333336</v>
      </c>
      <c r="C1580" s="87" t="s">
        <v>1508</v>
      </c>
      <c r="D1580" s="34"/>
      <c r="E1580" s="37">
        <v>8000000</v>
      </c>
      <c r="F1580" s="37"/>
      <c r="G1580" s="37">
        <f t="shared" si="279"/>
        <v>8000000</v>
      </c>
      <c r="H1580" s="64"/>
      <c r="I1580" s="64">
        <v>470560</v>
      </c>
      <c r="J1580" s="64">
        <v>68470.080000000002</v>
      </c>
      <c r="K1580" s="18">
        <f t="shared" si="280"/>
        <v>7460969.9199999999</v>
      </c>
      <c r="L1580" s="19">
        <f t="shared" si="281"/>
        <v>56266667</v>
      </c>
      <c r="M1580" s="20"/>
      <c r="N1580" s="20"/>
      <c r="O1580" s="81"/>
      <c r="P1580" s="55"/>
      <c r="Q1580" s="55"/>
      <c r="R1580" s="14"/>
      <c r="S1580" s="14"/>
    </row>
    <row r="1581" spans="2:19" ht="15" hidden="1" x14ac:dyDescent="0.25">
      <c r="B1581" s="16">
        <v>43655.083333333336</v>
      </c>
      <c r="C1581" s="87" t="s">
        <v>1509</v>
      </c>
      <c r="D1581" s="34"/>
      <c r="E1581" s="37">
        <v>8000000</v>
      </c>
      <c r="F1581" s="37"/>
      <c r="G1581" s="37">
        <f t="shared" si="279"/>
        <v>8000000</v>
      </c>
      <c r="H1581" s="64"/>
      <c r="I1581" s="64">
        <v>470560</v>
      </c>
      <c r="J1581" s="64">
        <v>68470.080000000002</v>
      </c>
      <c r="K1581" s="18">
        <f t="shared" si="280"/>
        <v>7460969.9199999999</v>
      </c>
      <c r="L1581" s="19">
        <f t="shared" si="281"/>
        <v>48266667</v>
      </c>
      <c r="M1581" s="20"/>
      <c r="N1581" s="20"/>
      <c r="O1581" s="81"/>
      <c r="P1581" s="55"/>
      <c r="Q1581" s="55"/>
      <c r="R1581" s="14"/>
      <c r="S1581" s="14"/>
    </row>
    <row r="1582" spans="2:19" ht="12" hidden="1" customHeight="1" x14ac:dyDescent="0.25">
      <c r="B1582" s="16">
        <v>43692.083333333336</v>
      </c>
      <c r="C1582" s="87" t="s">
        <v>1510</v>
      </c>
      <c r="D1582" s="34"/>
      <c r="E1582" s="37">
        <v>8000000</v>
      </c>
      <c r="F1582" s="37"/>
      <c r="G1582" s="37">
        <f t="shared" si="279"/>
        <v>8000000</v>
      </c>
      <c r="H1582" s="64"/>
      <c r="I1582" s="64">
        <v>470560</v>
      </c>
      <c r="J1582" s="64">
        <v>68470.080000000002</v>
      </c>
      <c r="K1582" s="18">
        <f t="shared" si="280"/>
        <v>7460969.9199999999</v>
      </c>
      <c r="L1582" s="19">
        <f t="shared" si="281"/>
        <v>40266667</v>
      </c>
      <c r="M1582" s="20"/>
      <c r="N1582" s="20"/>
      <c r="O1582" s="81"/>
      <c r="P1582" s="85"/>
      <c r="Q1582" s="85"/>
      <c r="R1582" s="14"/>
      <c r="S1582" s="14"/>
    </row>
    <row r="1583" spans="2:19" ht="12" hidden="1" customHeight="1" x14ac:dyDescent="0.25">
      <c r="B1583" s="16">
        <v>43706.083333333336</v>
      </c>
      <c r="C1583" s="87" t="s">
        <v>1511</v>
      </c>
      <c r="D1583" s="34"/>
      <c r="E1583" s="37">
        <v>8000000</v>
      </c>
      <c r="F1583" s="37"/>
      <c r="G1583" s="37">
        <f t="shared" si="279"/>
        <v>8000000</v>
      </c>
      <c r="H1583" s="64"/>
      <c r="I1583" s="64">
        <v>470560</v>
      </c>
      <c r="J1583" s="64">
        <v>68470.080000000002</v>
      </c>
      <c r="K1583" s="18">
        <f t="shared" si="280"/>
        <v>7460969.9199999999</v>
      </c>
      <c r="L1583" s="19">
        <f t="shared" si="281"/>
        <v>32266667</v>
      </c>
      <c r="M1583" s="20"/>
      <c r="N1583" s="20"/>
      <c r="O1583" s="81"/>
      <c r="P1583" s="85"/>
      <c r="Q1583" s="85"/>
      <c r="R1583" s="14"/>
      <c r="S1583" s="14"/>
    </row>
    <row r="1584" spans="2:19" ht="12" hidden="1" customHeight="1" x14ac:dyDescent="0.25">
      <c r="B1584" s="16">
        <v>43754</v>
      </c>
      <c r="C1584" s="87" t="s">
        <v>1512</v>
      </c>
      <c r="D1584" s="34"/>
      <c r="E1584" s="37">
        <v>8000000</v>
      </c>
      <c r="F1584" s="37"/>
      <c r="G1584" s="37">
        <f t="shared" si="279"/>
        <v>8000000</v>
      </c>
      <c r="H1584" s="64"/>
      <c r="I1584" s="64">
        <v>470560</v>
      </c>
      <c r="J1584" s="64">
        <v>68470.080000000002</v>
      </c>
      <c r="K1584" s="18">
        <f t="shared" si="280"/>
        <v>7460969.9199999999</v>
      </c>
      <c r="L1584" s="19">
        <f t="shared" si="281"/>
        <v>24266667</v>
      </c>
      <c r="M1584" s="20"/>
      <c r="N1584" s="20"/>
      <c r="O1584" s="81"/>
      <c r="P1584" s="85"/>
      <c r="Q1584" s="85"/>
      <c r="R1584" s="14"/>
      <c r="S1584" s="14"/>
    </row>
    <row r="1585" spans="2:19" ht="12" hidden="1" customHeight="1" x14ac:dyDescent="0.25">
      <c r="B1585" s="16">
        <v>43770.083333333336</v>
      </c>
      <c r="C1585" s="87" t="s">
        <v>1513</v>
      </c>
      <c r="D1585" s="34"/>
      <c r="E1585" s="37">
        <v>8000000</v>
      </c>
      <c r="F1585" s="37"/>
      <c r="G1585" s="37">
        <f t="shared" si="279"/>
        <v>8000000</v>
      </c>
      <c r="H1585" s="64"/>
      <c r="I1585" s="64">
        <v>470560</v>
      </c>
      <c r="J1585" s="64">
        <v>68470.080000000002</v>
      </c>
      <c r="K1585" s="18">
        <f t="shared" si="280"/>
        <v>7460969.9199999999</v>
      </c>
      <c r="L1585" s="19">
        <f t="shared" si="281"/>
        <v>16266667</v>
      </c>
      <c r="M1585" s="20"/>
      <c r="N1585" s="20"/>
      <c r="O1585" s="81"/>
      <c r="P1585" s="85"/>
      <c r="Q1585" s="85"/>
      <c r="R1585" s="14"/>
      <c r="S1585" s="14"/>
    </row>
    <row r="1586" spans="2:19" ht="12" hidden="1" customHeight="1" x14ac:dyDescent="0.25">
      <c r="B1586" s="16">
        <v>43802.125</v>
      </c>
      <c r="C1586" s="87" t="s">
        <v>1514</v>
      </c>
      <c r="D1586" s="34"/>
      <c r="E1586" s="37">
        <v>8000000</v>
      </c>
      <c r="F1586" s="37"/>
      <c r="G1586" s="37">
        <f t="shared" si="279"/>
        <v>8000000</v>
      </c>
      <c r="H1586" s="64"/>
      <c r="I1586" s="64">
        <v>470560</v>
      </c>
      <c r="J1586" s="64">
        <v>68470.080000000002</v>
      </c>
      <c r="K1586" s="18">
        <f t="shared" si="280"/>
        <v>7460969.9199999999</v>
      </c>
      <c r="L1586" s="19">
        <f t="shared" si="281"/>
        <v>8266667</v>
      </c>
      <c r="M1586" s="20"/>
      <c r="N1586" s="20"/>
      <c r="O1586" s="81"/>
      <c r="P1586" s="85"/>
      <c r="Q1586" s="85"/>
      <c r="R1586" s="14"/>
      <c r="S1586" s="14"/>
    </row>
    <row r="1587" spans="2:19" ht="12" hidden="1" customHeight="1" x14ac:dyDescent="0.25">
      <c r="B1587" s="16">
        <v>43825.125</v>
      </c>
      <c r="C1587" s="87" t="s">
        <v>1515</v>
      </c>
      <c r="D1587" s="34"/>
      <c r="E1587" s="37">
        <v>8000000</v>
      </c>
      <c r="F1587" s="37"/>
      <c r="G1587" s="37">
        <f t="shared" si="279"/>
        <v>8000000</v>
      </c>
      <c r="H1587" s="64"/>
      <c r="I1587" s="64">
        <v>470560</v>
      </c>
      <c r="J1587" s="64">
        <v>68470.080000000002</v>
      </c>
      <c r="K1587" s="18">
        <f t="shared" si="280"/>
        <v>7460969.9199999999</v>
      </c>
      <c r="L1587" s="19">
        <f t="shared" si="281"/>
        <v>266667</v>
      </c>
      <c r="M1587" s="20"/>
      <c r="N1587" s="20"/>
      <c r="O1587" s="81"/>
      <c r="P1587" s="85"/>
      <c r="Q1587" s="85"/>
      <c r="R1587" s="14"/>
      <c r="S1587" s="14"/>
    </row>
    <row r="1588" spans="2:19" ht="12" hidden="1" customHeight="1" x14ac:dyDescent="0.25">
      <c r="B1588" s="16"/>
      <c r="C1588" s="87" t="s">
        <v>654</v>
      </c>
      <c r="D1588" s="34"/>
      <c r="E1588" s="37">
        <v>266667</v>
      </c>
      <c r="F1588" s="37"/>
      <c r="G1588" s="37"/>
      <c r="H1588" s="64"/>
      <c r="I1588" s="64"/>
      <c r="J1588" s="64"/>
      <c r="K1588" s="18"/>
      <c r="L1588" s="19">
        <f>+L1587-E1588</f>
        <v>0</v>
      </c>
      <c r="M1588" s="20"/>
      <c r="N1588" s="20"/>
      <c r="O1588" s="81"/>
      <c r="P1588" s="85"/>
      <c r="Q1588" s="85"/>
      <c r="R1588" s="14"/>
      <c r="S1588" s="14"/>
    </row>
    <row r="1589" spans="2:19" ht="12.75" hidden="1" customHeight="1" x14ac:dyDescent="0.25">
      <c r="B1589" s="9" t="s">
        <v>1516</v>
      </c>
      <c r="C1589" s="10"/>
      <c r="D1589" s="11">
        <v>71760000</v>
      </c>
      <c r="E1589" s="11">
        <f>+D1589</f>
        <v>71760000</v>
      </c>
      <c r="F1589" s="11"/>
      <c r="G1589" s="11"/>
      <c r="H1589" s="11"/>
      <c r="I1589" s="11"/>
      <c r="J1589" s="11"/>
      <c r="K1589" s="11"/>
      <c r="L1589" s="11">
        <f>+D1589</f>
        <v>71760000</v>
      </c>
      <c r="M1589" s="12"/>
      <c r="N1589" s="12"/>
      <c r="P1589" s="55"/>
      <c r="Q1589" s="55"/>
      <c r="R1589" s="14"/>
      <c r="S1589" s="14"/>
    </row>
    <row r="1590" spans="2:19" ht="12.95" hidden="1" customHeight="1" x14ac:dyDescent="0.25">
      <c r="B1590" s="16">
        <v>43508.125</v>
      </c>
      <c r="C1590" s="50" t="s">
        <v>1517</v>
      </c>
      <c r="D1590" s="34"/>
      <c r="E1590" s="37">
        <v>3536000</v>
      </c>
      <c r="F1590" s="37"/>
      <c r="G1590" s="37">
        <f t="shared" ref="G1590:G1601" si="282">+E1590</f>
        <v>3536000</v>
      </c>
      <c r="H1590" s="64"/>
      <c r="I1590" s="64"/>
      <c r="J1590" s="64">
        <v>30263.78</v>
      </c>
      <c r="K1590" s="18">
        <f t="shared" ref="K1590:K1601" si="283">+G1590-H1590-I1590-J1590</f>
        <v>3505736.22</v>
      </c>
      <c r="L1590" s="19">
        <f t="shared" ref="L1590:L1601" si="284">+L1589-G1590</f>
        <v>68224000</v>
      </c>
      <c r="M1590" s="20"/>
      <c r="N1590" s="20"/>
      <c r="O1590" s="81">
        <f>+L1601-'[1]ANEXO 7 - PPTO VIG 2019'!T34</f>
        <v>0</v>
      </c>
      <c r="P1590" s="55"/>
      <c r="Q1590" s="55"/>
      <c r="R1590" s="14"/>
      <c r="S1590" s="14"/>
    </row>
    <row r="1591" spans="2:19" ht="12.95" hidden="1" customHeight="1" x14ac:dyDescent="0.25">
      <c r="B1591" s="16">
        <v>43546.083333333336</v>
      </c>
      <c r="C1591" s="50" t="s">
        <v>1518</v>
      </c>
      <c r="D1591" s="34"/>
      <c r="E1591" s="37">
        <v>6240000</v>
      </c>
      <c r="F1591" s="37"/>
      <c r="G1591" s="37">
        <f t="shared" si="282"/>
        <v>6240000</v>
      </c>
      <c r="H1591" s="64"/>
      <c r="I1591" s="64">
        <v>219481.36</v>
      </c>
      <c r="J1591" s="64">
        <v>53406.66</v>
      </c>
      <c r="K1591" s="18">
        <f t="shared" si="283"/>
        <v>5967111.9799999995</v>
      </c>
      <c r="L1591" s="19">
        <f t="shared" si="284"/>
        <v>61984000</v>
      </c>
      <c r="M1591" s="20"/>
      <c r="N1591" s="20"/>
      <c r="O1591" s="81"/>
      <c r="P1591" s="55"/>
      <c r="Q1591" s="55"/>
      <c r="R1591" s="14"/>
      <c r="S1591" s="14"/>
    </row>
    <row r="1592" spans="2:19" ht="12.95" hidden="1" customHeight="1" x14ac:dyDescent="0.25">
      <c r="B1592" s="16">
        <v>43565.083333333336</v>
      </c>
      <c r="C1592" s="50" t="s">
        <v>1519</v>
      </c>
      <c r="D1592" s="34"/>
      <c r="E1592" s="37">
        <v>6240000</v>
      </c>
      <c r="F1592" s="37"/>
      <c r="G1592" s="37">
        <f t="shared" si="282"/>
        <v>6240000</v>
      </c>
      <c r="H1592" s="64"/>
      <c r="I1592" s="64">
        <v>219481.36</v>
      </c>
      <c r="J1592" s="64">
        <v>53406.66</v>
      </c>
      <c r="K1592" s="18">
        <f t="shared" si="283"/>
        <v>5967111.9799999995</v>
      </c>
      <c r="L1592" s="19">
        <f t="shared" si="284"/>
        <v>55744000</v>
      </c>
      <c r="M1592" s="20"/>
      <c r="N1592" s="20"/>
      <c r="O1592" s="81"/>
      <c r="P1592" s="55"/>
      <c r="Q1592" s="55"/>
      <c r="R1592" s="14"/>
      <c r="S1592" s="14"/>
    </row>
    <row r="1593" spans="2:19" ht="12.95" hidden="1" customHeight="1" x14ac:dyDescent="0.25">
      <c r="B1593" s="16">
        <v>43599.083333333336</v>
      </c>
      <c r="C1593" s="50" t="s">
        <v>1520</v>
      </c>
      <c r="D1593" s="34"/>
      <c r="E1593" s="37">
        <v>6240000</v>
      </c>
      <c r="F1593" s="37"/>
      <c r="G1593" s="37">
        <f t="shared" si="282"/>
        <v>6240000</v>
      </c>
      <c r="H1593" s="64"/>
      <c r="I1593" s="64">
        <v>219481.36</v>
      </c>
      <c r="J1593" s="64">
        <v>53406.66</v>
      </c>
      <c r="K1593" s="18">
        <f t="shared" si="283"/>
        <v>5967111.9799999995</v>
      </c>
      <c r="L1593" s="19">
        <f t="shared" si="284"/>
        <v>49504000</v>
      </c>
      <c r="M1593" s="20"/>
      <c r="N1593" s="20"/>
      <c r="O1593" s="81"/>
      <c r="P1593" s="55"/>
      <c r="Q1593" s="55"/>
      <c r="R1593" s="14"/>
      <c r="S1593" s="14"/>
    </row>
    <row r="1594" spans="2:19" ht="12.95" hidden="1" customHeight="1" x14ac:dyDescent="0.25">
      <c r="B1594" s="16">
        <v>43628.083333333336</v>
      </c>
      <c r="C1594" s="50" t="s">
        <v>1521</v>
      </c>
      <c r="D1594" s="34"/>
      <c r="E1594" s="37">
        <v>6240000</v>
      </c>
      <c r="F1594" s="37"/>
      <c r="G1594" s="37">
        <f t="shared" si="282"/>
        <v>6240000</v>
      </c>
      <c r="H1594" s="64"/>
      <c r="I1594" s="64">
        <v>219481.36</v>
      </c>
      <c r="J1594" s="64">
        <v>53406.66</v>
      </c>
      <c r="K1594" s="18">
        <f t="shared" si="283"/>
        <v>5967111.9799999995</v>
      </c>
      <c r="L1594" s="19">
        <f t="shared" si="284"/>
        <v>43264000</v>
      </c>
      <c r="M1594" s="20"/>
      <c r="N1594" s="20"/>
      <c r="O1594" s="81"/>
      <c r="P1594" s="55"/>
      <c r="Q1594" s="55"/>
      <c r="R1594" s="14"/>
      <c r="S1594" s="14"/>
    </row>
    <row r="1595" spans="2:19" ht="12.95" hidden="1" customHeight="1" x14ac:dyDescent="0.25">
      <c r="B1595" s="16">
        <v>43662.083333333336</v>
      </c>
      <c r="C1595" s="50" t="s">
        <v>1522</v>
      </c>
      <c r="D1595" s="34"/>
      <c r="E1595" s="37">
        <v>6240000</v>
      </c>
      <c r="F1595" s="37"/>
      <c r="G1595" s="37">
        <f t="shared" si="282"/>
        <v>6240000</v>
      </c>
      <c r="H1595" s="64"/>
      <c r="I1595" s="64">
        <v>322716.89</v>
      </c>
      <c r="J1595" s="64">
        <v>60278.400000000001</v>
      </c>
      <c r="K1595" s="18">
        <f t="shared" si="283"/>
        <v>5857004.71</v>
      </c>
      <c r="L1595" s="19">
        <f t="shared" si="284"/>
        <v>37024000</v>
      </c>
      <c r="M1595" s="20"/>
      <c r="N1595" s="20"/>
      <c r="O1595" s="81"/>
      <c r="P1595" s="55"/>
      <c r="Q1595" s="55"/>
      <c r="R1595" s="14"/>
      <c r="S1595" s="14"/>
    </row>
    <row r="1596" spans="2:19" ht="12.95" hidden="1" customHeight="1" x14ac:dyDescent="0.25">
      <c r="B1596" s="16">
        <v>43692.083333333336</v>
      </c>
      <c r="C1596" s="50" t="s">
        <v>1523</v>
      </c>
      <c r="D1596" s="34"/>
      <c r="E1596" s="37">
        <v>6240000</v>
      </c>
      <c r="F1596" s="37"/>
      <c r="G1596" s="37">
        <f t="shared" si="282"/>
        <v>6240000</v>
      </c>
      <c r="H1596" s="64"/>
      <c r="I1596" s="64">
        <v>219481.36</v>
      </c>
      <c r="J1596" s="64">
        <v>53406.66</v>
      </c>
      <c r="K1596" s="18">
        <f t="shared" si="283"/>
        <v>5967111.9799999995</v>
      </c>
      <c r="L1596" s="19">
        <f t="shared" si="284"/>
        <v>30784000</v>
      </c>
      <c r="M1596" s="20"/>
      <c r="N1596" s="20"/>
      <c r="O1596" s="81"/>
      <c r="P1596" s="85"/>
      <c r="Q1596" s="85"/>
      <c r="R1596" s="14"/>
      <c r="S1596" s="14"/>
    </row>
    <row r="1597" spans="2:19" ht="12.75" hidden="1" customHeight="1" x14ac:dyDescent="0.25">
      <c r="B1597" s="16">
        <v>43706.083333333336</v>
      </c>
      <c r="C1597" s="50" t="s">
        <v>1524</v>
      </c>
      <c r="D1597" s="34"/>
      <c r="E1597" s="37">
        <v>6240000</v>
      </c>
      <c r="F1597" s="37"/>
      <c r="G1597" s="37">
        <f t="shared" si="282"/>
        <v>6240000</v>
      </c>
      <c r="H1597" s="64"/>
      <c r="I1597" s="64">
        <v>219481.36</v>
      </c>
      <c r="J1597" s="64">
        <v>53406.66</v>
      </c>
      <c r="K1597" s="18">
        <f t="shared" si="283"/>
        <v>5967111.9799999995</v>
      </c>
      <c r="L1597" s="19">
        <f t="shared" si="284"/>
        <v>24544000</v>
      </c>
      <c r="M1597" s="20"/>
      <c r="N1597" s="20"/>
      <c r="O1597" s="81"/>
      <c r="P1597" s="85"/>
      <c r="Q1597" s="85"/>
      <c r="R1597" s="14"/>
      <c r="S1597" s="14"/>
    </row>
    <row r="1598" spans="2:19" ht="12.75" hidden="1" customHeight="1" x14ac:dyDescent="0.25">
      <c r="B1598" s="89">
        <v>43754.083333333336</v>
      </c>
      <c r="C1598" s="90" t="s">
        <v>1525</v>
      </c>
      <c r="D1598" s="34"/>
      <c r="E1598" s="37">
        <v>6240000</v>
      </c>
      <c r="F1598" s="37"/>
      <c r="G1598" s="37">
        <f t="shared" si="282"/>
        <v>6240000</v>
      </c>
      <c r="H1598" s="64"/>
      <c r="I1598" s="64">
        <v>219481.36</v>
      </c>
      <c r="J1598" s="64">
        <v>53406.66</v>
      </c>
      <c r="K1598" s="18">
        <f t="shared" si="283"/>
        <v>5967111.9799999995</v>
      </c>
      <c r="L1598" s="19">
        <f t="shared" si="284"/>
        <v>18304000</v>
      </c>
      <c r="M1598" s="20"/>
      <c r="N1598" s="20"/>
      <c r="O1598" s="81"/>
      <c r="P1598" s="85"/>
      <c r="Q1598" s="85"/>
      <c r="R1598" s="14"/>
      <c r="S1598" s="14"/>
    </row>
    <row r="1599" spans="2:19" ht="12.75" hidden="1" customHeight="1" x14ac:dyDescent="0.25">
      <c r="B1599" s="89">
        <v>43782.125</v>
      </c>
      <c r="C1599" s="90" t="s">
        <v>1526</v>
      </c>
      <c r="D1599" s="34"/>
      <c r="E1599" s="37">
        <v>6240000</v>
      </c>
      <c r="F1599" s="37"/>
      <c r="G1599" s="37">
        <f t="shared" si="282"/>
        <v>6240000</v>
      </c>
      <c r="H1599" s="64"/>
      <c r="I1599" s="64">
        <v>219481.36</v>
      </c>
      <c r="J1599" s="64">
        <v>53406.66</v>
      </c>
      <c r="K1599" s="18">
        <f t="shared" si="283"/>
        <v>5967111.9799999995</v>
      </c>
      <c r="L1599" s="19">
        <f t="shared" si="284"/>
        <v>12064000</v>
      </c>
      <c r="M1599" s="20"/>
      <c r="N1599" s="20"/>
      <c r="O1599" s="81"/>
      <c r="P1599" s="85"/>
      <c r="Q1599" s="85"/>
      <c r="R1599" s="14"/>
      <c r="S1599" s="14"/>
    </row>
    <row r="1600" spans="2:19" ht="12.75" hidden="1" customHeight="1" x14ac:dyDescent="0.25">
      <c r="B1600" s="89">
        <v>43805.125</v>
      </c>
      <c r="C1600" s="90" t="s">
        <v>1527</v>
      </c>
      <c r="D1600" s="34"/>
      <c r="E1600" s="37">
        <v>6240000</v>
      </c>
      <c r="F1600" s="37"/>
      <c r="G1600" s="37">
        <f t="shared" si="282"/>
        <v>6240000</v>
      </c>
      <c r="H1600" s="64"/>
      <c r="I1600" s="64">
        <v>219481.36</v>
      </c>
      <c r="J1600" s="64">
        <v>53406.66</v>
      </c>
      <c r="K1600" s="18">
        <f t="shared" si="283"/>
        <v>5967111.9799999995</v>
      </c>
      <c r="L1600" s="19">
        <f t="shared" si="284"/>
        <v>5824000</v>
      </c>
      <c r="M1600" s="20"/>
      <c r="N1600" s="20"/>
      <c r="O1600" s="81"/>
      <c r="P1600" s="85"/>
      <c r="Q1600" s="85"/>
      <c r="R1600" s="14"/>
      <c r="S1600" s="14"/>
    </row>
    <row r="1601" spans="2:19" ht="12.75" hidden="1" customHeight="1" x14ac:dyDescent="0.25">
      <c r="B1601" s="89">
        <v>43825.125</v>
      </c>
      <c r="C1601" s="90" t="s">
        <v>1528</v>
      </c>
      <c r="D1601" s="34"/>
      <c r="E1601" s="37">
        <v>5824000</v>
      </c>
      <c r="F1601" s="37"/>
      <c r="G1601" s="37">
        <f t="shared" si="282"/>
        <v>5824000</v>
      </c>
      <c r="H1601" s="64"/>
      <c r="I1601" s="64">
        <v>166959.26</v>
      </c>
      <c r="J1601" s="64">
        <v>49846.22</v>
      </c>
      <c r="K1601" s="18">
        <f t="shared" si="283"/>
        <v>5607194.5200000005</v>
      </c>
      <c r="L1601" s="19">
        <f t="shared" si="284"/>
        <v>0</v>
      </c>
      <c r="M1601" s="20"/>
      <c r="N1601" s="20"/>
      <c r="O1601" s="81"/>
      <c r="P1601" s="85"/>
      <c r="Q1601" s="85"/>
      <c r="R1601" s="14"/>
      <c r="S1601" s="14"/>
    </row>
    <row r="1602" spans="2:19" ht="12.75" hidden="1" customHeight="1" x14ac:dyDescent="0.25">
      <c r="B1602" s="9" t="s">
        <v>1529</v>
      </c>
      <c r="C1602" s="10"/>
      <c r="D1602" s="11">
        <v>92000000</v>
      </c>
      <c r="E1602" s="11">
        <f>+D1602</f>
        <v>92000000</v>
      </c>
      <c r="F1602" s="11"/>
      <c r="G1602" s="11"/>
      <c r="H1602" s="11"/>
      <c r="I1602" s="11"/>
      <c r="J1602" s="11"/>
      <c r="K1602" s="11"/>
      <c r="L1602" s="11">
        <f>+D1602</f>
        <v>92000000</v>
      </c>
      <c r="M1602" s="12"/>
      <c r="N1602" s="12"/>
      <c r="P1602" s="55"/>
      <c r="Q1602" s="55"/>
      <c r="R1602" s="14"/>
      <c r="S1602" s="14"/>
    </row>
    <row r="1603" spans="2:19" ht="12.75" hidden="1" customHeight="1" x14ac:dyDescent="0.25">
      <c r="B1603" s="16">
        <v>43508.125</v>
      </c>
      <c r="C1603" s="50" t="s">
        <v>1530</v>
      </c>
      <c r="D1603" s="34"/>
      <c r="E1603" s="37">
        <v>4800000</v>
      </c>
      <c r="F1603" s="37"/>
      <c r="G1603" s="37">
        <f t="shared" ref="G1603:G1614" si="285">+E1603</f>
        <v>4800000</v>
      </c>
      <c r="H1603" s="64"/>
      <c r="I1603" s="64"/>
      <c r="J1603" s="64">
        <v>41082.050000000003</v>
      </c>
      <c r="K1603" s="18">
        <f t="shared" ref="K1603:K1614" si="286">+G1603-H1603-I1603-J1603</f>
        <v>4758917.95</v>
      </c>
      <c r="L1603" s="19">
        <f t="shared" ref="L1603:L1614" si="287">+L1602-G1603</f>
        <v>87200000</v>
      </c>
      <c r="M1603" s="20"/>
      <c r="N1603" s="20"/>
      <c r="O1603" s="81">
        <f>+L1614-'[1]ANEXO 7 - PPTO VIG 2019'!T33</f>
        <v>0</v>
      </c>
      <c r="P1603" s="55"/>
      <c r="Q1603" s="55"/>
      <c r="R1603" s="14"/>
      <c r="S1603" s="14"/>
    </row>
    <row r="1604" spans="2:19" ht="12.75" hidden="1" customHeight="1" x14ac:dyDescent="0.25">
      <c r="B1604" s="16">
        <v>43528.125</v>
      </c>
      <c r="C1604" s="50" t="s">
        <v>1531</v>
      </c>
      <c r="D1604" s="34"/>
      <c r="E1604" s="37">
        <v>8000000</v>
      </c>
      <c r="F1604" s="37"/>
      <c r="G1604" s="37">
        <f t="shared" si="285"/>
        <v>8000000</v>
      </c>
      <c r="H1604" s="64"/>
      <c r="I1604" s="64">
        <v>388312</v>
      </c>
      <c r="J1604" s="64">
        <v>68470.080000000002</v>
      </c>
      <c r="K1604" s="18">
        <f t="shared" si="286"/>
        <v>7543217.9199999999</v>
      </c>
      <c r="L1604" s="19">
        <f t="shared" si="287"/>
        <v>79200000</v>
      </c>
      <c r="M1604" s="20"/>
      <c r="N1604" s="20"/>
      <c r="O1604" s="81"/>
      <c r="P1604" s="55"/>
      <c r="Q1604" s="55"/>
      <c r="R1604" s="14"/>
      <c r="S1604" s="14"/>
    </row>
    <row r="1605" spans="2:19" ht="12.75" hidden="1" customHeight="1" x14ac:dyDescent="0.25">
      <c r="B1605" s="16">
        <v>43563.083333333336</v>
      </c>
      <c r="C1605" s="50" t="s">
        <v>1532</v>
      </c>
      <c r="D1605" s="34"/>
      <c r="E1605" s="37">
        <v>8000000</v>
      </c>
      <c r="F1605" s="37"/>
      <c r="G1605" s="37">
        <f t="shared" si="285"/>
        <v>8000000</v>
      </c>
      <c r="H1605" s="64"/>
      <c r="I1605" s="64">
        <v>470560</v>
      </c>
      <c r="J1605" s="64">
        <v>68470.080000000002</v>
      </c>
      <c r="K1605" s="18">
        <f t="shared" si="286"/>
        <v>7460969.9199999999</v>
      </c>
      <c r="L1605" s="19">
        <f t="shared" si="287"/>
        <v>71200000</v>
      </c>
      <c r="M1605" s="20"/>
      <c r="N1605" s="20"/>
      <c r="O1605" s="81"/>
      <c r="P1605" s="55"/>
      <c r="Q1605" s="55"/>
      <c r="R1605" s="14"/>
      <c r="S1605" s="14"/>
    </row>
    <row r="1606" spans="2:19" ht="12.75" hidden="1" customHeight="1" x14ac:dyDescent="0.25">
      <c r="B1606" s="16">
        <v>43593.083333333336</v>
      </c>
      <c r="C1606" s="50" t="s">
        <v>1533</v>
      </c>
      <c r="D1606" s="34"/>
      <c r="E1606" s="37">
        <v>8000000</v>
      </c>
      <c r="F1606" s="37"/>
      <c r="G1606" s="37">
        <f t="shared" si="285"/>
        <v>8000000</v>
      </c>
      <c r="H1606" s="64"/>
      <c r="I1606" s="64">
        <v>470560</v>
      </c>
      <c r="J1606" s="64">
        <v>68470.080000000002</v>
      </c>
      <c r="K1606" s="18">
        <f t="shared" si="286"/>
        <v>7460969.9199999999</v>
      </c>
      <c r="L1606" s="19">
        <f t="shared" si="287"/>
        <v>63200000</v>
      </c>
      <c r="M1606" s="20"/>
      <c r="N1606" s="20"/>
      <c r="O1606" s="81"/>
      <c r="P1606" s="55"/>
      <c r="Q1606" s="55"/>
      <c r="R1606" s="14"/>
      <c r="S1606" s="14"/>
    </row>
    <row r="1607" spans="2:19" ht="12.75" hidden="1" customHeight="1" x14ac:dyDescent="0.25">
      <c r="B1607" s="16">
        <v>43626.083333333336</v>
      </c>
      <c r="C1607" s="50" t="s">
        <v>1534</v>
      </c>
      <c r="D1607" s="34"/>
      <c r="E1607" s="37">
        <v>8000000</v>
      </c>
      <c r="F1607" s="37"/>
      <c r="G1607" s="37">
        <f t="shared" si="285"/>
        <v>8000000</v>
      </c>
      <c r="H1607" s="64"/>
      <c r="I1607" s="64">
        <v>470560</v>
      </c>
      <c r="J1607" s="64">
        <v>68470.080000000002</v>
      </c>
      <c r="K1607" s="18">
        <f t="shared" si="286"/>
        <v>7460969.9199999999</v>
      </c>
      <c r="L1607" s="19">
        <f t="shared" si="287"/>
        <v>55200000</v>
      </c>
      <c r="M1607" s="20"/>
      <c r="N1607" s="20"/>
      <c r="O1607" s="81"/>
      <c r="P1607" s="55"/>
      <c r="Q1607" s="55"/>
      <c r="R1607" s="14"/>
      <c r="S1607" s="14"/>
    </row>
    <row r="1608" spans="2:19" ht="12.75" hidden="1" customHeight="1" x14ac:dyDescent="0.25">
      <c r="B1608" s="16">
        <v>43662.083333333336</v>
      </c>
      <c r="C1608" s="50" t="s">
        <v>1535</v>
      </c>
      <c r="D1608" s="34"/>
      <c r="E1608" s="37">
        <v>8000000</v>
      </c>
      <c r="F1608" s="37"/>
      <c r="G1608" s="37">
        <f t="shared" si="285"/>
        <v>8000000</v>
      </c>
      <c r="H1608" s="64"/>
      <c r="I1608" s="64">
        <v>470560</v>
      </c>
      <c r="J1608" s="64">
        <v>68470.080000000002</v>
      </c>
      <c r="K1608" s="18">
        <f t="shared" si="286"/>
        <v>7460969.9199999999</v>
      </c>
      <c r="L1608" s="19">
        <f t="shared" si="287"/>
        <v>47200000</v>
      </c>
      <c r="M1608" s="20"/>
      <c r="N1608" s="20"/>
      <c r="O1608" s="81"/>
      <c r="P1608" s="55"/>
      <c r="Q1608" s="55"/>
      <c r="R1608" s="14"/>
      <c r="S1608" s="14"/>
    </row>
    <row r="1609" spans="2:19" ht="12.75" hidden="1" customHeight="1" x14ac:dyDescent="0.25">
      <c r="B1609" s="16">
        <v>43686.083333333336</v>
      </c>
      <c r="C1609" s="50" t="s">
        <v>1536</v>
      </c>
      <c r="D1609" s="34"/>
      <c r="E1609" s="37">
        <v>8000000</v>
      </c>
      <c r="F1609" s="37"/>
      <c r="G1609" s="37">
        <f t="shared" si="285"/>
        <v>8000000</v>
      </c>
      <c r="H1609" s="64"/>
      <c r="I1609" s="64">
        <v>470560</v>
      </c>
      <c r="J1609" s="64">
        <v>68470.080000000002</v>
      </c>
      <c r="K1609" s="18">
        <f t="shared" si="286"/>
        <v>7460969.9199999999</v>
      </c>
      <c r="L1609" s="19">
        <f t="shared" si="287"/>
        <v>39200000</v>
      </c>
      <c r="M1609" s="20"/>
      <c r="N1609" s="20"/>
      <c r="O1609" s="81"/>
      <c r="P1609" s="85"/>
      <c r="Q1609" s="85"/>
      <c r="R1609" s="14"/>
      <c r="S1609" s="14"/>
    </row>
    <row r="1610" spans="2:19" ht="12.75" hidden="1" customHeight="1" x14ac:dyDescent="0.25">
      <c r="B1610" s="16">
        <v>43706.083333333336</v>
      </c>
      <c r="C1610" s="50" t="s">
        <v>1537</v>
      </c>
      <c r="D1610" s="34"/>
      <c r="E1610" s="37">
        <v>8000000</v>
      </c>
      <c r="F1610" s="37"/>
      <c r="G1610" s="37">
        <f t="shared" si="285"/>
        <v>8000000</v>
      </c>
      <c r="H1610" s="64"/>
      <c r="I1610" s="64">
        <v>470560</v>
      </c>
      <c r="J1610" s="64">
        <v>68470.080000000002</v>
      </c>
      <c r="K1610" s="18">
        <f t="shared" si="286"/>
        <v>7460969.9199999999</v>
      </c>
      <c r="L1610" s="19">
        <f t="shared" si="287"/>
        <v>31200000</v>
      </c>
      <c r="M1610" s="20"/>
      <c r="N1610" s="20"/>
      <c r="O1610" s="81"/>
      <c r="P1610" s="85"/>
      <c r="Q1610" s="85"/>
      <c r="R1610" s="14"/>
      <c r="S1610" s="14"/>
    </row>
    <row r="1611" spans="2:19" ht="12.75" hidden="1" customHeight="1" x14ac:dyDescent="0.25">
      <c r="B1611" s="16">
        <v>43754.083333333336</v>
      </c>
      <c r="C1611" s="50" t="s">
        <v>1538</v>
      </c>
      <c r="D1611" s="34"/>
      <c r="E1611" s="37">
        <v>8000000</v>
      </c>
      <c r="F1611" s="37"/>
      <c r="G1611" s="37">
        <f t="shared" si="285"/>
        <v>8000000</v>
      </c>
      <c r="H1611" s="64"/>
      <c r="I1611" s="64">
        <v>470560</v>
      </c>
      <c r="J1611" s="64">
        <v>68470.080000000002</v>
      </c>
      <c r="K1611" s="18">
        <f t="shared" si="286"/>
        <v>7460969.9199999999</v>
      </c>
      <c r="L1611" s="19">
        <f t="shared" si="287"/>
        <v>23200000</v>
      </c>
      <c r="M1611" s="20"/>
      <c r="N1611" s="20"/>
      <c r="O1611" s="81"/>
      <c r="P1611" s="85"/>
      <c r="Q1611" s="85"/>
      <c r="R1611" s="14"/>
      <c r="S1611" s="14"/>
    </row>
    <row r="1612" spans="2:19" ht="12.75" hidden="1" customHeight="1" x14ac:dyDescent="0.25">
      <c r="B1612" s="16">
        <v>43782.125</v>
      </c>
      <c r="C1612" s="50" t="s">
        <v>1539</v>
      </c>
      <c r="D1612" s="34"/>
      <c r="E1612" s="37">
        <v>8000000</v>
      </c>
      <c r="F1612" s="37"/>
      <c r="G1612" s="37">
        <f t="shared" si="285"/>
        <v>8000000</v>
      </c>
      <c r="H1612" s="64"/>
      <c r="I1612" s="64">
        <v>470560</v>
      </c>
      <c r="J1612" s="64">
        <v>68470.080000000002</v>
      </c>
      <c r="K1612" s="18">
        <f t="shared" si="286"/>
        <v>7460969.9199999999</v>
      </c>
      <c r="L1612" s="19">
        <f t="shared" si="287"/>
        <v>15200000</v>
      </c>
      <c r="M1612" s="20"/>
      <c r="N1612" s="20"/>
      <c r="O1612" s="81"/>
      <c r="P1612" s="85"/>
      <c r="Q1612" s="85"/>
      <c r="R1612" s="14"/>
      <c r="S1612" s="14"/>
    </row>
    <row r="1613" spans="2:19" ht="12.75" hidden="1" customHeight="1" x14ac:dyDescent="0.25">
      <c r="B1613" s="16">
        <v>43805.125</v>
      </c>
      <c r="C1613" s="50" t="s">
        <v>1540</v>
      </c>
      <c r="D1613" s="34"/>
      <c r="E1613" s="37">
        <v>8000000</v>
      </c>
      <c r="F1613" s="37"/>
      <c r="G1613" s="37">
        <f t="shared" si="285"/>
        <v>8000000</v>
      </c>
      <c r="H1613" s="64"/>
      <c r="I1613" s="64">
        <v>470560</v>
      </c>
      <c r="J1613" s="64">
        <v>68470.080000000002</v>
      </c>
      <c r="K1613" s="18">
        <f t="shared" si="286"/>
        <v>7460969.9199999999</v>
      </c>
      <c r="L1613" s="19">
        <f t="shared" si="287"/>
        <v>7200000</v>
      </c>
      <c r="M1613" s="20"/>
      <c r="N1613" s="20"/>
      <c r="O1613" s="81"/>
      <c r="P1613" s="85"/>
      <c r="Q1613" s="85"/>
      <c r="R1613" s="14"/>
      <c r="S1613" s="14"/>
    </row>
    <row r="1614" spans="2:19" ht="12.75" hidden="1" customHeight="1" x14ac:dyDescent="0.25">
      <c r="B1614" s="16">
        <v>43825.125</v>
      </c>
      <c r="C1614" s="50" t="s">
        <v>1541</v>
      </c>
      <c r="D1614" s="34"/>
      <c r="E1614" s="37">
        <v>7200000</v>
      </c>
      <c r="F1614" s="37"/>
      <c r="G1614" s="37">
        <f t="shared" si="285"/>
        <v>7200000</v>
      </c>
      <c r="H1614" s="64"/>
      <c r="I1614" s="64">
        <v>340158.91</v>
      </c>
      <c r="J1614" s="64">
        <v>61623.07</v>
      </c>
      <c r="K1614" s="18">
        <f t="shared" si="286"/>
        <v>6798218.0199999996</v>
      </c>
      <c r="L1614" s="19">
        <f t="shared" si="287"/>
        <v>0</v>
      </c>
      <c r="M1614" s="20"/>
      <c r="N1614" s="20"/>
      <c r="O1614" s="81"/>
      <c r="P1614" s="85"/>
      <c r="Q1614" s="85"/>
      <c r="R1614" s="14"/>
      <c r="S1614" s="14"/>
    </row>
    <row r="1615" spans="2:19" ht="12.75" hidden="1" customHeight="1" x14ac:dyDescent="0.25">
      <c r="B1615" s="9" t="s">
        <v>1542</v>
      </c>
      <c r="C1615" s="10"/>
      <c r="D1615" s="11">
        <v>71860000</v>
      </c>
      <c r="E1615" s="11">
        <f>+D1615</f>
        <v>71860000</v>
      </c>
      <c r="F1615" s="11"/>
      <c r="G1615" s="11"/>
      <c r="H1615" s="11"/>
      <c r="I1615" s="11"/>
      <c r="J1615" s="11"/>
      <c r="K1615" s="11"/>
      <c r="L1615" s="11">
        <f>+D1615</f>
        <v>71860000</v>
      </c>
      <c r="M1615" s="12"/>
      <c r="N1615" s="12"/>
      <c r="P1615" s="55"/>
      <c r="Q1615" s="55"/>
      <c r="R1615" s="14"/>
      <c r="S1615" s="14"/>
    </row>
    <row r="1616" spans="2:19" ht="12.95" hidden="1" customHeight="1" x14ac:dyDescent="0.25">
      <c r="B1616" s="16">
        <v>43503.125</v>
      </c>
      <c r="C1616" s="50" t="s">
        <v>1543</v>
      </c>
      <c r="D1616" s="34"/>
      <c r="E1616" s="37">
        <v>1820000</v>
      </c>
      <c r="F1616" s="37"/>
      <c r="G1616" s="37">
        <f t="shared" ref="G1616:G1632" si="288">+E1616</f>
        <v>1820000</v>
      </c>
      <c r="H1616" s="64"/>
      <c r="I1616" s="64"/>
      <c r="J1616" s="64">
        <v>15576.94</v>
      </c>
      <c r="K1616" s="18">
        <f t="shared" ref="K1616:K1632" si="289">+G1616-H1616-I1616-J1616</f>
        <v>1804423.06</v>
      </c>
      <c r="L1616" s="19">
        <f t="shared" ref="L1616:L1632" si="290">+L1615-G1616</f>
        <v>70040000</v>
      </c>
      <c r="M1616" s="20"/>
      <c r="N1616" s="20"/>
      <c r="O1616" s="81">
        <f>+L1633-'[1]ANEXO 7 - PPTO VIG 2019'!T35</f>
        <v>0</v>
      </c>
      <c r="P1616" s="55"/>
      <c r="Q1616" s="55"/>
      <c r="R1616" s="14"/>
      <c r="S1616" s="14"/>
    </row>
    <row r="1617" spans="2:19" ht="12.95" hidden="1" customHeight="1" x14ac:dyDescent="0.25">
      <c r="B1617" s="16">
        <v>43528.125</v>
      </c>
      <c r="C1617" s="50" t="s">
        <v>1544</v>
      </c>
      <c r="D1617" s="34"/>
      <c r="E1617" s="37">
        <v>3640000</v>
      </c>
      <c r="F1617" s="37"/>
      <c r="G1617" s="37">
        <f t="shared" si="288"/>
        <v>3640000</v>
      </c>
      <c r="H1617" s="64"/>
      <c r="I1617" s="64"/>
      <c r="J1617" s="64">
        <v>31153.89</v>
      </c>
      <c r="K1617" s="18">
        <f t="shared" si="289"/>
        <v>3608846.11</v>
      </c>
      <c r="L1617" s="19">
        <f t="shared" si="290"/>
        <v>66400000</v>
      </c>
      <c r="M1617" s="20"/>
      <c r="N1617" s="20"/>
      <c r="O1617" s="81"/>
      <c r="P1617" s="55"/>
      <c r="Q1617" s="55"/>
      <c r="R1617" s="14"/>
      <c r="S1617" s="14"/>
    </row>
    <row r="1618" spans="2:19" ht="12.75" hidden="1" customHeight="1" x14ac:dyDescent="0.25">
      <c r="B1618" s="16">
        <v>43560.083333333336</v>
      </c>
      <c r="C1618" s="50" t="s">
        <v>1545</v>
      </c>
      <c r="D1618" s="34"/>
      <c r="E1618" s="37">
        <v>3640000</v>
      </c>
      <c r="F1618" s="37"/>
      <c r="G1618" s="37">
        <f t="shared" si="288"/>
        <v>3640000</v>
      </c>
      <c r="H1618" s="64"/>
      <c r="I1618" s="64"/>
      <c r="J1618" s="64">
        <v>31153.89</v>
      </c>
      <c r="K1618" s="18">
        <f t="shared" si="289"/>
        <v>3608846.11</v>
      </c>
      <c r="L1618" s="19">
        <f t="shared" si="290"/>
        <v>62760000</v>
      </c>
      <c r="M1618" s="20"/>
      <c r="N1618" s="20"/>
      <c r="O1618" s="81"/>
      <c r="P1618" s="55"/>
      <c r="Q1618" s="55"/>
      <c r="R1618" s="14"/>
      <c r="S1618" s="14"/>
    </row>
    <row r="1619" spans="2:19" ht="12.75" hidden="1" customHeight="1" x14ac:dyDescent="0.25">
      <c r="B1619" s="16">
        <v>43593.083333333336</v>
      </c>
      <c r="C1619" s="50" t="s">
        <v>1546</v>
      </c>
      <c r="D1619" s="34"/>
      <c r="E1619" s="37">
        <v>3640000</v>
      </c>
      <c r="F1619" s="37"/>
      <c r="G1619" s="37">
        <f t="shared" si="288"/>
        <v>3640000</v>
      </c>
      <c r="H1619" s="64"/>
      <c r="I1619" s="64"/>
      <c r="J1619" s="64">
        <v>31153.89</v>
      </c>
      <c r="K1619" s="18">
        <f t="shared" si="289"/>
        <v>3608846.11</v>
      </c>
      <c r="L1619" s="19">
        <f t="shared" si="290"/>
        <v>59120000</v>
      </c>
      <c r="M1619" s="20"/>
      <c r="N1619" s="20"/>
      <c r="O1619" s="81"/>
      <c r="P1619" s="55"/>
      <c r="Q1619" s="55"/>
      <c r="R1619" s="14"/>
      <c r="S1619" s="14"/>
    </row>
    <row r="1620" spans="2:19" ht="12.75" hidden="1" customHeight="1" x14ac:dyDescent="0.25">
      <c r="B1620" s="16">
        <v>43627.083333333336</v>
      </c>
      <c r="C1620" s="50" t="s">
        <v>1547</v>
      </c>
      <c r="D1620" s="34"/>
      <c r="E1620" s="37">
        <v>3640000</v>
      </c>
      <c r="F1620" s="37"/>
      <c r="G1620" s="37">
        <f t="shared" si="288"/>
        <v>3640000</v>
      </c>
      <c r="H1620" s="64"/>
      <c r="I1620" s="64"/>
      <c r="J1620" s="64">
        <v>31153.89</v>
      </c>
      <c r="K1620" s="18">
        <f t="shared" si="289"/>
        <v>3608846.11</v>
      </c>
      <c r="L1620" s="19">
        <f t="shared" si="290"/>
        <v>55480000</v>
      </c>
      <c r="M1620" s="20"/>
      <c r="N1620" s="20"/>
      <c r="O1620" s="81"/>
      <c r="P1620" s="55"/>
      <c r="Q1620" s="55"/>
      <c r="R1620" s="14"/>
      <c r="S1620" s="14"/>
    </row>
    <row r="1621" spans="2:19" ht="12.75" hidden="1" customHeight="1" x14ac:dyDescent="0.25">
      <c r="B1621" s="16">
        <v>43658.083333333336</v>
      </c>
      <c r="C1621" s="50" t="s">
        <v>1548</v>
      </c>
      <c r="D1621" s="34"/>
      <c r="E1621" s="37">
        <v>3640000</v>
      </c>
      <c r="F1621" s="37"/>
      <c r="G1621" s="37">
        <f t="shared" si="288"/>
        <v>3640000</v>
      </c>
      <c r="H1621" s="64"/>
      <c r="I1621" s="64"/>
      <c r="J1621" s="64">
        <v>31153.89</v>
      </c>
      <c r="K1621" s="18">
        <f t="shared" si="289"/>
        <v>3608846.11</v>
      </c>
      <c r="L1621" s="19">
        <f t="shared" si="290"/>
        <v>51840000</v>
      </c>
      <c r="M1621" s="20"/>
      <c r="N1621" s="20"/>
      <c r="O1621" s="81"/>
      <c r="P1621" s="55"/>
      <c r="Q1621" s="55"/>
      <c r="R1621" s="14"/>
      <c r="S1621" s="14"/>
    </row>
    <row r="1622" spans="2:19" ht="12.75" hidden="1" customHeight="1" x14ac:dyDescent="0.25">
      <c r="B1622" s="16">
        <v>43658.083333333336</v>
      </c>
      <c r="C1622" s="50" t="s">
        <v>1549</v>
      </c>
      <c r="D1622" s="34"/>
      <c r="E1622" s="37">
        <v>1249445</v>
      </c>
      <c r="F1622" s="37"/>
      <c r="G1622" s="37">
        <f t="shared" si="288"/>
        <v>1249445</v>
      </c>
      <c r="H1622" s="64"/>
      <c r="I1622" s="64">
        <v>70033.759999999995</v>
      </c>
      <c r="J1622" s="64">
        <v>12069.64</v>
      </c>
      <c r="K1622" s="18">
        <f t="shared" si="289"/>
        <v>1167341.6000000001</v>
      </c>
      <c r="L1622" s="19">
        <f t="shared" si="290"/>
        <v>50590555</v>
      </c>
      <c r="M1622" s="20"/>
      <c r="N1622" s="20"/>
      <c r="O1622" s="81"/>
      <c r="P1622" s="55"/>
      <c r="Q1622" s="55"/>
      <c r="R1622" s="14"/>
      <c r="S1622" s="14"/>
    </row>
    <row r="1623" spans="2:19" ht="12.75" hidden="1" customHeight="1" x14ac:dyDescent="0.25">
      <c r="B1623" s="16">
        <v>43686.083333333336</v>
      </c>
      <c r="C1623" s="50" t="s">
        <v>1550</v>
      </c>
      <c r="D1623" s="34"/>
      <c r="E1623" s="37">
        <v>3640000</v>
      </c>
      <c r="F1623" s="37"/>
      <c r="G1623" s="37">
        <f t="shared" si="288"/>
        <v>3640000</v>
      </c>
      <c r="H1623" s="64"/>
      <c r="I1623" s="64"/>
      <c r="J1623" s="64">
        <v>31153.89</v>
      </c>
      <c r="K1623" s="18">
        <f t="shared" si="289"/>
        <v>3608846.11</v>
      </c>
      <c r="L1623" s="19">
        <f t="shared" si="290"/>
        <v>46950555</v>
      </c>
      <c r="M1623" s="20"/>
      <c r="N1623" s="20"/>
      <c r="O1623" s="81"/>
      <c r="P1623" s="85"/>
      <c r="Q1623" s="85"/>
      <c r="R1623" s="14"/>
      <c r="S1623" s="14"/>
    </row>
    <row r="1624" spans="2:19" ht="12.75" hidden="1" customHeight="1" x14ac:dyDescent="0.25">
      <c r="B1624" s="16">
        <v>43686.083333333336</v>
      </c>
      <c r="C1624" s="50" t="s">
        <v>1551</v>
      </c>
      <c r="D1624" s="34"/>
      <c r="E1624" s="37">
        <v>1889660</v>
      </c>
      <c r="F1624" s="37"/>
      <c r="G1624" s="37">
        <f t="shared" si="288"/>
        <v>1889660</v>
      </c>
      <c r="H1624" s="64"/>
      <c r="I1624" s="64">
        <v>54940.88</v>
      </c>
      <c r="J1624" s="64">
        <v>11046.5</v>
      </c>
      <c r="K1624" s="18">
        <f t="shared" si="289"/>
        <v>1823672.62</v>
      </c>
      <c r="L1624" s="19">
        <f t="shared" si="290"/>
        <v>45060895</v>
      </c>
      <c r="M1624" s="20"/>
      <c r="N1624" s="20"/>
      <c r="O1624" s="81"/>
      <c r="P1624" s="85"/>
      <c r="Q1624" s="85"/>
      <c r="R1624" s="14"/>
      <c r="S1624" s="14"/>
    </row>
    <row r="1625" spans="2:19" ht="12.75" hidden="1" customHeight="1" x14ac:dyDescent="0.25">
      <c r="B1625" s="16">
        <v>43707.083333333336</v>
      </c>
      <c r="C1625" s="50" t="s">
        <v>1552</v>
      </c>
      <c r="D1625" s="34"/>
      <c r="E1625" s="37">
        <v>3640000</v>
      </c>
      <c r="F1625" s="37"/>
      <c r="G1625" s="37">
        <f t="shared" si="288"/>
        <v>3640000</v>
      </c>
      <c r="H1625" s="64"/>
      <c r="I1625" s="64"/>
      <c r="J1625" s="64">
        <v>31153.89</v>
      </c>
      <c r="K1625" s="18">
        <f t="shared" si="289"/>
        <v>3608846.11</v>
      </c>
      <c r="L1625" s="19">
        <f t="shared" si="290"/>
        <v>41420895</v>
      </c>
      <c r="M1625" s="20"/>
      <c r="N1625" s="20"/>
      <c r="O1625" s="81"/>
      <c r="P1625" s="85"/>
      <c r="Q1625" s="85"/>
      <c r="R1625" s="14"/>
      <c r="S1625" s="14"/>
    </row>
    <row r="1626" spans="2:19" ht="12.75" hidden="1" customHeight="1" x14ac:dyDescent="0.25">
      <c r="B1626" s="16">
        <v>43711.083333333336</v>
      </c>
      <c r="C1626" s="50" t="s">
        <v>1553</v>
      </c>
      <c r="D1626" s="34"/>
      <c r="E1626" s="37">
        <v>2800455</v>
      </c>
      <c r="F1626" s="37"/>
      <c r="G1626" s="37">
        <f t="shared" si="288"/>
        <v>2800455</v>
      </c>
      <c r="H1626" s="64"/>
      <c r="I1626" s="64"/>
      <c r="J1626" s="64">
        <v>15255.99</v>
      </c>
      <c r="K1626" s="18">
        <f t="shared" si="289"/>
        <v>2785199.01</v>
      </c>
      <c r="L1626" s="19">
        <f t="shared" si="290"/>
        <v>38620440</v>
      </c>
      <c r="M1626" s="20"/>
      <c r="N1626" s="20"/>
      <c r="O1626" s="81"/>
      <c r="P1626" s="85"/>
      <c r="Q1626" s="85"/>
      <c r="R1626" s="14"/>
      <c r="S1626" s="14"/>
    </row>
    <row r="1627" spans="2:19" ht="12.75" hidden="1" customHeight="1" x14ac:dyDescent="0.25">
      <c r="B1627" s="16">
        <v>43754.083333333336</v>
      </c>
      <c r="C1627" s="50" t="s">
        <v>1554</v>
      </c>
      <c r="D1627" s="34"/>
      <c r="E1627" s="37">
        <v>3640000</v>
      </c>
      <c r="F1627" s="37"/>
      <c r="G1627" s="37">
        <f t="shared" si="288"/>
        <v>3640000</v>
      </c>
      <c r="H1627" s="64"/>
      <c r="I1627" s="64">
        <v>0</v>
      </c>
      <c r="J1627" s="64">
        <v>31153.89</v>
      </c>
      <c r="K1627" s="18">
        <f t="shared" si="289"/>
        <v>3608846.11</v>
      </c>
      <c r="L1627" s="19">
        <f t="shared" si="290"/>
        <v>34980440</v>
      </c>
      <c r="M1627" s="20"/>
      <c r="N1627" s="20"/>
      <c r="O1627" s="81"/>
      <c r="P1627" s="85"/>
      <c r="Q1627" s="85"/>
      <c r="R1627" s="14"/>
      <c r="S1627" s="14"/>
    </row>
    <row r="1628" spans="2:19" ht="12.75" hidden="1" customHeight="1" x14ac:dyDescent="0.25">
      <c r="B1628" s="16">
        <v>43754.083333333336</v>
      </c>
      <c r="C1628" s="50" t="s">
        <v>1555</v>
      </c>
      <c r="D1628" s="34"/>
      <c r="E1628" s="37">
        <v>4305417</v>
      </c>
      <c r="F1628" s="37"/>
      <c r="G1628" s="37">
        <f t="shared" si="288"/>
        <v>4305417</v>
      </c>
      <c r="H1628" s="64"/>
      <c r="I1628" s="64">
        <v>111408.65</v>
      </c>
      <c r="J1628" s="64">
        <v>14874.42</v>
      </c>
      <c r="K1628" s="18">
        <f t="shared" si="289"/>
        <v>4179133.93</v>
      </c>
      <c r="L1628" s="19">
        <f t="shared" si="290"/>
        <v>30675023</v>
      </c>
      <c r="M1628" s="20"/>
      <c r="N1628" s="20"/>
      <c r="O1628" s="81"/>
      <c r="P1628" s="85"/>
      <c r="Q1628" s="85"/>
      <c r="R1628" s="14"/>
      <c r="S1628" s="14"/>
    </row>
    <row r="1629" spans="2:19" ht="12.75" hidden="1" customHeight="1" x14ac:dyDescent="0.25">
      <c r="B1629" s="89">
        <v>43770.083333333336</v>
      </c>
      <c r="C1629" s="90" t="s">
        <v>1556</v>
      </c>
      <c r="D1629" s="34"/>
      <c r="E1629" s="37">
        <v>3640000</v>
      </c>
      <c r="F1629" s="37"/>
      <c r="G1629" s="37">
        <f t="shared" si="288"/>
        <v>3640000</v>
      </c>
      <c r="H1629" s="64"/>
      <c r="I1629" s="64">
        <v>0</v>
      </c>
      <c r="J1629" s="64">
        <v>31153.89</v>
      </c>
      <c r="K1629" s="18">
        <f t="shared" si="289"/>
        <v>3608846.11</v>
      </c>
      <c r="L1629" s="19">
        <f t="shared" si="290"/>
        <v>27035023</v>
      </c>
      <c r="M1629" s="20"/>
      <c r="N1629" s="20"/>
      <c r="O1629" s="81"/>
      <c r="P1629" s="85"/>
      <c r="Q1629" s="85"/>
      <c r="R1629" s="14"/>
      <c r="S1629" s="14"/>
    </row>
    <row r="1630" spans="2:19" ht="12.75" hidden="1" customHeight="1" x14ac:dyDescent="0.25">
      <c r="B1630" s="89">
        <v>43770.083333333336</v>
      </c>
      <c r="C1630" s="90" t="s">
        <v>1557</v>
      </c>
      <c r="D1630" s="34"/>
      <c r="E1630" s="37">
        <v>2077710</v>
      </c>
      <c r="F1630" s="37"/>
      <c r="G1630" s="37">
        <f t="shared" si="288"/>
        <v>2077710</v>
      </c>
      <c r="H1630" s="64"/>
      <c r="I1630" s="64">
        <v>38980.89</v>
      </c>
      <c r="J1630" s="64">
        <v>9964.58</v>
      </c>
      <c r="K1630" s="18">
        <f t="shared" si="289"/>
        <v>2028764.53</v>
      </c>
      <c r="L1630" s="19">
        <f t="shared" si="290"/>
        <v>24957313</v>
      </c>
      <c r="M1630" s="20"/>
      <c r="N1630" s="20"/>
      <c r="O1630" s="81"/>
      <c r="P1630" s="85"/>
      <c r="Q1630" s="85"/>
      <c r="R1630" s="14"/>
      <c r="S1630" s="14"/>
    </row>
    <row r="1631" spans="2:19" ht="12.75" hidden="1" customHeight="1" x14ac:dyDescent="0.25">
      <c r="B1631" s="89">
        <v>43802.125</v>
      </c>
      <c r="C1631" s="90" t="s">
        <v>1558</v>
      </c>
      <c r="D1631" s="34"/>
      <c r="E1631" s="37">
        <v>3640000</v>
      </c>
      <c r="F1631" s="37"/>
      <c r="G1631" s="37">
        <f t="shared" si="288"/>
        <v>3640000</v>
      </c>
      <c r="H1631" s="64"/>
      <c r="I1631" s="64">
        <v>0</v>
      </c>
      <c r="J1631" s="64">
        <v>31153.89</v>
      </c>
      <c r="K1631" s="18">
        <f t="shared" si="289"/>
        <v>3608846.11</v>
      </c>
      <c r="L1631" s="19">
        <f t="shared" si="290"/>
        <v>21317313</v>
      </c>
      <c r="M1631" s="20"/>
      <c r="N1631" s="20"/>
      <c r="O1631" s="81"/>
      <c r="P1631" s="85"/>
      <c r="Q1631" s="85"/>
      <c r="R1631" s="14"/>
      <c r="S1631" s="14"/>
    </row>
    <row r="1632" spans="2:19" ht="12.75" hidden="1" customHeight="1" x14ac:dyDescent="0.25">
      <c r="B1632" s="89">
        <v>43823.125</v>
      </c>
      <c r="C1632" s="90" t="s">
        <v>1559</v>
      </c>
      <c r="D1632" s="34"/>
      <c r="E1632" s="37">
        <v>3640000</v>
      </c>
      <c r="F1632" s="37"/>
      <c r="G1632" s="37">
        <f t="shared" si="288"/>
        <v>3640000</v>
      </c>
      <c r="H1632" s="64"/>
      <c r="I1632" s="64">
        <v>0</v>
      </c>
      <c r="J1632" s="64">
        <v>31153.89</v>
      </c>
      <c r="K1632" s="18">
        <f t="shared" si="289"/>
        <v>3608846.11</v>
      </c>
      <c r="L1632" s="19">
        <f t="shared" si="290"/>
        <v>17677313</v>
      </c>
      <c r="M1632" s="20"/>
      <c r="N1632" s="20"/>
      <c r="O1632" s="81"/>
      <c r="P1632" s="85"/>
      <c r="Q1632" s="85"/>
      <c r="R1632" s="14"/>
      <c r="S1632" s="14"/>
    </row>
    <row r="1633" spans="2:19" ht="12.75" hidden="1" customHeight="1" x14ac:dyDescent="0.25">
      <c r="B1633" s="89"/>
      <c r="C1633" s="90" t="s">
        <v>654</v>
      </c>
      <c r="D1633" s="34"/>
      <c r="E1633" s="37">
        <v>17677313</v>
      </c>
      <c r="F1633" s="37"/>
      <c r="G1633" s="37"/>
      <c r="H1633" s="64"/>
      <c r="I1633" s="64"/>
      <c r="J1633" s="64"/>
      <c r="K1633" s="18"/>
      <c r="L1633" s="19">
        <f>+L1632-E1633</f>
        <v>0</v>
      </c>
      <c r="M1633" s="20"/>
      <c r="N1633" s="20"/>
      <c r="O1633" s="81"/>
      <c r="P1633" s="85"/>
      <c r="Q1633" s="85"/>
      <c r="R1633" s="14"/>
      <c r="S1633" s="14"/>
    </row>
    <row r="1634" spans="2:19" ht="12.75" hidden="1" customHeight="1" x14ac:dyDescent="0.25">
      <c r="B1634" s="9" t="s">
        <v>1560</v>
      </c>
      <c r="C1634" s="10"/>
      <c r="D1634" s="11">
        <v>220000000</v>
      </c>
      <c r="E1634" s="11">
        <f>+D1634</f>
        <v>220000000</v>
      </c>
      <c r="F1634" s="11"/>
      <c r="G1634" s="11"/>
      <c r="H1634" s="11"/>
      <c r="I1634" s="11"/>
      <c r="J1634" s="11"/>
      <c r="K1634" s="11"/>
      <c r="L1634" s="11">
        <f>+D1634</f>
        <v>220000000</v>
      </c>
      <c r="M1634" s="12"/>
      <c r="N1634" s="12"/>
      <c r="P1634" s="55"/>
      <c r="Q1634" s="55"/>
      <c r="R1634" s="14"/>
      <c r="S1634" s="14"/>
    </row>
    <row r="1635" spans="2:19" ht="12.95" hidden="1" customHeight="1" x14ac:dyDescent="0.25">
      <c r="B1635" s="16">
        <v>43504.125</v>
      </c>
      <c r="C1635" s="50" t="s">
        <v>1561</v>
      </c>
      <c r="D1635" s="34"/>
      <c r="E1635" s="37">
        <v>14000000</v>
      </c>
      <c r="F1635" s="37"/>
      <c r="G1635" s="37">
        <f t="shared" ref="G1635:G1647" si="291">+E1635</f>
        <v>14000000</v>
      </c>
      <c r="H1635" s="64">
        <v>335294.09999999998</v>
      </c>
      <c r="I1635" s="64">
        <v>855412.78</v>
      </c>
      <c r="J1635" s="64">
        <v>100691.3</v>
      </c>
      <c r="K1635" s="18">
        <f t="shared" ref="K1635:K1647" si="292">+G1635-H1635-I1635-J1635</f>
        <v>12708601.82</v>
      </c>
      <c r="L1635" s="19">
        <f t="shared" ref="L1635:L1647" si="293">+L1634-G1635</f>
        <v>206000000</v>
      </c>
      <c r="M1635" s="20"/>
      <c r="N1635" s="20"/>
      <c r="O1635" s="81">
        <f>+L1648-'[1]ANEXO 7 - PPTO VIG 2019'!T9</f>
        <v>0</v>
      </c>
      <c r="P1635" s="55"/>
      <c r="Q1635" s="55"/>
      <c r="R1635" s="14"/>
      <c r="S1635" s="14"/>
    </row>
    <row r="1636" spans="2:19" ht="12.95" hidden="1" customHeight="1" x14ac:dyDescent="0.25">
      <c r="B1636" s="16">
        <v>43528.125</v>
      </c>
      <c r="C1636" s="50" t="s">
        <v>1562</v>
      </c>
      <c r="D1636" s="34"/>
      <c r="E1636" s="37">
        <v>15000000</v>
      </c>
      <c r="F1636" s="37"/>
      <c r="G1636" s="37">
        <f t="shared" si="291"/>
        <v>15000000</v>
      </c>
      <c r="H1636" s="64">
        <v>359243.7</v>
      </c>
      <c r="I1636" s="64">
        <v>1550418.8</v>
      </c>
      <c r="J1636" s="64">
        <v>121764.71</v>
      </c>
      <c r="K1636" s="18">
        <f t="shared" si="292"/>
        <v>12968572.789999999</v>
      </c>
      <c r="L1636" s="19">
        <f t="shared" si="293"/>
        <v>191000000</v>
      </c>
      <c r="M1636" s="20"/>
      <c r="N1636" s="20"/>
      <c r="O1636" s="81"/>
      <c r="P1636" s="55"/>
      <c r="Q1636" s="55"/>
      <c r="R1636" s="14"/>
      <c r="S1636" s="14"/>
    </row>
    <row r="1637" spans="2:19" ht="12.95" hidden="1" customHeight="1" x14ac:dyDescent="0.25">
      <c r="B1637" s="16">
        <v>43528.125</v>
      </c>
      <c r="C1637" s="50" t="s">
        <v>1563</v>
      </c>
      <c r="D1637" s="34"/>
      <c r="E1637" s="37">
        <v>263278</v>
      </c>
      <c r="F1637" s="37"/>
      <c r="G1637" s="37">
        <f t="shared" si="291"/>
        <v>263278</v>
      </c>
      <c r="H1637" s="64"/>
      <c r="I1637" s="64"/>
      <c r="J1637" s="64"/>
      <c r="K1637" s="18">
        <f t="shared" si="292"/>
        <v>263278</v>
      </c>
      <c r="L1637" s="19">
        <f t="shared" si="293"/>
        <v>190736722</v>
      </c>
      <c r="M1637" s="20"/>
      <c r="N1637" s="20"/>
      <c r="O1637" s="81"/>
      <c r="P1637" s="55"/>
      <c r="Q1637" s="55"/>
      <c r="R1637" s="14"/>
      <c r="S1637" s="14"/>
    </row>
    <row r="1638" spans="2:19" ht="12.95" hidden="1" customHeight="1" x14ac:dyDescent="0.25">
      <c r="B1638" s="16">
        <v>43558.083333333336</v>
      </c>
      <c r="C1638" s="50" t="s">
        <v>1564</v>
      </c>
      <c r="D1638" s="34"/>
      <c r="E1638" s="37">
        <v>15000000</v>
      </c>
      <c r="F1638" s="37"/>
      <c r="G1638" s="37">
        <f t="shared" si="291"/>
        <v>15000000</v>
      </c>
      <c r="H1638" s="64">
        <v>359243.7</v>
      </c>
      <c r="I1638" s="64">
        <v>1095063.72</v>
      </c>
      <c r="J1638" s="64">
        <v>107883.53</v>
      </c>
      <c r="K1638" s="18">
        <f t="shared" si="292"/>
        <v>13437809.050000001</v>
      </c>
      <c r="L1638" s="19">
        <f t="shared" si="293"/>
        <v>175736722</v>
      </c>
      <c r="M1638" s="20"/>
      <c r="N1638" s="20"/>
      <c r="O1638" s="81"/>
      <c r="P1638" s="55"/>
      <c r="Q1638" s="55"/>
      <c r="R1638" s="14"/>
      <c r="S1638" s="14"/>
    </row>
    <row r="1639" spans="2:19" ht="12.95" hidden="1" customHeight="1" x14ac:dyDescent="0.25">
      <c r="B1639" s="16">
        <v>43588.083333333336</v>
      </c>
      <c r="C1639" s="50" t="s">
        <v>1565</v>
      </c>
      <c r="D1639" s="34"/>
      <c r="E1639" s="37">
        <v>15000000</v>
      </c>
      <c r="F1639" s="37"/>
      <c r="G1639" s="37">
        <f t="shared" si="291"/>
        <v>15000000</v>
      </c>
      <c r="H1639" s="64">
        <v>359243.7</v>
      </c>
      <c r="I1639" s="64">
        <v>1095063.72</v>
      </c>
      <c r="J1639" s="64">
        <v>107883.53</v>
      </c>
      <c r="K1639" s="18">
        <f t="shared" si="292"/>
        <v>13437809.050000001</v>
      </c>
      <c r="L1639" s="19">
        <f t="shared" si="293"/>
        <v>160736722</v>
      </c>
      <c r="M1639" s="20"/>
      <c r="N1639" s="20"/>
      <c r="O1639" s="81"/>
      <c r="P1639" s="55"/>
      <c r="Q1639" s="55"/>
      <c r="R1639" s="14"/>
      <c r="S1639" s="14"/>
    </row>
    <row r="1640" spans="2:19" ht="12.95" hidden="1" customHeight="1" x14ac:dyDescent="0.25">
      <c r="B1640" s="16">
        <v>43620.083333333336</v>
      </c>
      <c r="C1640" s="50" t="s">
        <v>1566</v>
      </c>
      <c r="D1640" s="34"/>
      <c r="E1640" s="37">
        <v>15000000</v>
      </c>
      <c r="F1640" s="37"/>
      <c r="G1640" s="37">
        <f t="shared" si="291"/>
        <v>15000000</v>
      </c>
      <c r="H1640" s="64">
        <v>359243.7</v>
      </c>
      <c r="I1640" s="64">
        <v>1095063.72</v>
      </c>
      <c r="J1640" s="64">
        <v>107883.53</v>
      </c>
      <c r="K1640" s="18">
        <f t="shared" si="292"/>
        <v>13437809.050000001</v>
      </c>
      <c r="L1640" s="19">
        <f t="shared" si="293"/>
        <v>145736722</v>
      </c>
      <c r="M1640" s="20"/>
      <c r="N1640" s="20"/>
      <c r="O1640" s="81"/>
      <c r="P1640" s="55"/>
      <c r="Q1640" s="55"/>
      <c r="R1640" s="14"/>
      <c r="S1640" s="14"/>
    </row>
    <row r="1641" spans="2:19" ht="12.75" hidden="1" customHeight="1" x14ac:dyDescent="0.25">
      <c r="B1641" s="16">
        <v>43654.083333333336</v>
      </c>
      <c r="C1641" s="50" t="s">
        <v>1567</v>
      </c>
      <c r="D1641" s="34"/>
      <c r="E1641" s="37">
        <v>15000000</v>
      </c>
      <c r="F1641" s="37"/>
      <c r="G1641" s="37">
        <f t="shared" si="291"/>
        <v>15000000</v>
      </c>
      <c r="H1641" s="64">
        <v>359243.7</v>
      </c>
      <c r="I1641" s="64">
        <v>1095063.72</v>
      </c>
      <c r="J1641" s="64">
        <v>107883.53</v>
      </c>
      <c r="K1641" s="18">
        <f t="shared" si="292"/>
        <v>13437809.050000001</v>
      </c>
      <c r="L1641" s="19">
        <f t="shared" si="293"/>
        <v>130736722</v>
      </c>
      <c r="M1641" s="20"/>
      <c r="N1641" s="20"/>
      <c r="O1641" s="81"/>
      <c r="P1641" s="55"/>
      <c r="Q1641" s="55"/>
      <c r="R1641" s="14"/>
      <c r="S1641" s="14"/>
    </row>
    <row r="1642" spans="2:19" ht="12.75" hidden="1" customHeight="1" x14ac:dyDescent="0.25">
      <c r="B1642" s="16">
        <v>43683.083333333336</v>
      </c>
      <c r="C1642" s="50" t="s">
        <v>1568</v>
      </c>
      <c r="D1642" s="34"/>
      <c r="E1642" s="37">
        <v>15000000</v>
      </c>
      <c r="F1642" s="37"/>
      <c r="G1642" s="37">
        <f t="shared" si="291"/>
        <v>15000000</v>
      </c>
      <c r="H1642" s="64">
        <v>359243.7</v>
      </c>
      <c r="I1642" s="64">
        <v>1095063.72</v>
      </c>
      <c r="J1642" s="64">
        <v>107883.53</v>
      </c>
      <c r="K1642" s="18">
        <f t="shared" si="292"/>
        <v>13437809.050000001</v>
      </c>
      <c r="L1642" s="19">
        <f t="shared" si="293"/>
        <v>115736722</v>
      </c>
      <c r="M1642" s="20"/>
      <c r="N1642" s="20"/>
      <c r="O1642" s="81"/>
      <c r="P1642" s="85"/>
      <c r="Q1642" s="85"/>
      <c r="R1642" s="14"/>
      <c r="S1642" s="14"/>
    </row>
    <row r="1643" spans="2:19" ht="12.75" hidden="1" customHeight="1" x14ac:dyDescent="0.25">
      <c r="B1643" s="16">
        <v>43714.083333333336</v>
      </c>
      <c r="C1643" s="50" t="s">
        <v>1569</v>
      </c>
      <c r="D1643" s="34"/>
      <c r="E1643" s="37">
        <v>15000000</v>
      </c>
      <c r="F1643" s="37"/>
      <c r="G1643" s="37">
        <f t="shared" si="291"/>
        <v>15000000</v>
      </c>
      <c r="H1643" s="64">
        <v>359243.7</v>
      </c>
      <c r="I1643" s="64">
        <v>1095063.72</v>
      </c>
      <c r="J1643" s="64">
        <v>107883.53</v>
      </c>
      <c r="K1643" s="18">
        <f t="shared" si="292"/>
        <v>13437809.050000001</v>
      </c>
      <c r="L1643" s="19">
        <f t="shared" si="293"/>
        <v>100736722</v>
      </c>
      <c r="M1643" s="20"/>
      <c r="N1643" s="20"/>
      <c r="O1643" s="81"/>
      <c r="P1643" s="85"/>
      <c r="Q1643" s="85"/>
      <c r="R1643" s="14"/>
      <c r="S1643" s="14"/>
    </row>
    <row r="1644" spans="2:19" ht="12.75" hidden="1" customHeight="1" x14ac:dyDescent="0.25">
      <c r="B1644" s="16">
        <v>43746.083333333336</v>
      </c>
      <c r="C1644" s="50" t="s">
        <v>1570</v>
      </c>
      <c r="D1644" s="34"/>
      <c r="E1644" s="37">
        <v>15000000</v>
      </c>
      <c r="F1644" s="37"/>
      <c r="G1644" s="37">
        <f t="shared" si="291"/>
        <v>15000000</v>
      </c>
      <c r="H1644" s="64">
        <v>359243.7</v>
      </c>
      <c r="I1644" s="64">
        <v>1095063.72</v>
      </c>
      <c r="J1644" s="64">
        <v>107883.53</v>
      </c>
      <c r="K1644" s="18">
        <f t="shared" si="292"/>
        <v>13437809.050000001</v>
      </c>
      <c r="L1644" s="19">
        <f t="shared" si="293"/>
        <v>85736722</v>
      </c>
      <c r="M1644" s="20"/>
      <c r="N1644" s="20"/>
      <c r="O1644" s="81"/>
      <c r="P1644" s="85"/>
      <c r="Q1644" s="85"/>
      <c r="R1644" s="14"/>
      <c r="S1644" s="14"/>
    </row>
    <row r="1645" spans="2:19" ht="12.75" hidden="1" customHeight="1" x14ac:dyDescent="0.25">
      <c r="B1645" s="16">
        <v>43770.083333333336</v>
      </c>
      <c r="C1645" s="50" t="s">
        <v>1571</v>
      </c>
      <c r="D1645" s="34"/>
      <c r="E1645" s="37">
        <v>15000000</v>
      </c>
      <c r="F1645" s="37"/>
      <c r="G1645" s="37">
        <f t="shared" si="291"/>
        <v>15000000</v>
      </c>
      <c r="H1645" s="64">
        <v>359243.7</v>
      </c>
      <c r="I1645" s="64">
        <v>1095063.72</v>
      </c>
      <c r="J1645" s="64">
        <v>107883.53</v>
      </c>
      <c r="K1645" s="18">
        <f t="shared" si="292"/>
        <v>13437809.050000001</v>
      </c>
      <c r="L1645" s="19">
        <f t="shared" si="293"/>
        <v>70736722</v>
      </c>
      <c r="M1645" s="20"/>
      <c r="N1645" s="20"/>
      <c r="O1645" s="81"/>
      <c r="P1645" s="85"/>
      <c r="Q1645" s="85"/>
      <c r="R1645" s="14"/>
      <c r="S1645" s="14"/>
    </row>
    <row r="1646" spans="2:19" ht="12.75" hidden="1" customHeight="1" x14ac:dyDescent="0.25">
      <c r="B1646" s="16">
        <v>43802.125</v>
      </c>
      <c r="C1646" s="50" t="s">
        <v>1572</v>
      </c>
      <c r="D1646" s="34"/>
      <c r="E1646" s="37">
        <v>15000000</v>
      </c>
      <c r="F1646" s="37"/>
      <c r="G1646" s="37">
        <f t="shared" si="291"/>
        <v>15000000</v>
      </c>
      <c r="H1646" s="64">
        <v>359243.7</v>
      </c>
      <c r="I1646" s="64">
        <v>1095063.72</v>
      </c>
      <c r="J1646" s="64">
        <v>107883.53</v>
      </c>
      <c r="K1646" s="18">
        <f t="shared" si="292"/>
        <v>13437809.050000001</v>
      </c>
      <c r="L1646" s="19">
        <f t="shared" si="293"/>
        <v>55736722</v>
      </c>
      <c r="M1646" s="20"/>
      <c r="N1646" s="20"/>
      <c r="O1646" s="81"/>
      <c r="P1646" s="85"/>
      <c r="Q1646" s="85"/>
      <c r="R1646" s="14"/>
      <c r="S1646" s="14"/>
    </row>
    <row r="1647" spans="2:19" ht="12.75" hidden="1" customHeight="1" x14ac:dyDescent="0.25">
      <c r="B1647" s="16">
        <v>43823.125</v>
      </c>
      <c r="C1647" s="50" t="s">
        <v>1573</v>
      </c>
      <c r="D1647" s="34"/>
      <c r="E1647" s="37">
        <v>15000000</v>
      </c>
      <c r="F1647" s="37"/>
      <c r="G1647" s="37">
        <f t="shared" si="291"/>
        <v>15000000</v>
      </c>
      <c r="H1647" s="64">
        <v>359243.7</v>
      </c>
      <c r="I1647" s="64">
        <v>1095063.72</v>
      </c>
      <c r="J1647" s="64">
        <v>107883.53</v>
      </c>
      <c r="K1647" s="18">
        <f t="shared" si="292"/>
        <v>13437809.050000001</v>
      </c>
      <c r="L1647" s="19">
        <f t="shared" si="293"/>
        <v>40736722</v>
      </c>
      <c r="M1647" s="20"/>
      <c r="N1647" s="20"/>
      <c r="O1647" s="81"/>
      <c r="P1647" s="85"/>
      <c r="Q1647" s="85"/>
      <c r="R1647" s="14"/>
      <c r="S1647" s="14"/>
    </row>
    <row r="1648" spans="2:19" ht="12.75" hidden="1" customHeight="1" x14ac:dyDescent="0.25">
      <c r="B1648" s="16"/>
      <c r="C1648" s="50" t="s">
        <v>654</v>
      </c>
      <c r="D1648" s="34"/>
      <c r="E1648" s="37">
        <v>40736722</v>
      </c>
      <c r="F1648" s="37"/>
      <c r="G1648" s="37"/>
      <c r="H1648" s="64"/>
      <c r="I1648" s="64"/>
      <c r="J1648" s="64"/>
      <c r="K1648" s="18"/>
      <c r="L1648" s="19">
        <f>+L1647-E1648</f>
        <v>0</v>
      </c>
      <c r="M1648" s="20"/>
      <c r="N1648" s="20"/>
      <c r="O1648" s="81"/>
      <c r="P1648" s="85"/>
      <c r="Q1648" s="85"/>
      <c r="R1648" s="14"/>
      <c r="S1648" s="14"/>
    </row>
    <row r="1649" spans="2:19" ht="12.75" hidden="1" customHeight="1" x14ac:dyDescent="0.25">
      <c r="B1649" s="9" t="s">
        <v>1574</v>
      </c>
      <c r="C1649" s="10"/>
      <c r="D1649" s="11">
        <v>95680000</v>
      </c>
      <c r="E1649" s="11">
        <f>+D1649</f>
        <v>95680000</v>
      </c>
      <c r="F1649" s="11"/>
      <c r="G1649" s="11"/>
      <c r="H1649" s="11"/>
      <c r="I1649" s="11"/>
      <c r="J1649" s="11"/>
      <c r="K1649" s="11"/>
      <c r="L1649" s="11">
        <f>+D1649</f>
        <v>95680000</v>
      </c>
      <c r="M1649" s="12"/>
      <c r="N1649" s="12"/>
      <c r="P1649" s="55"/>
      <c r="Q1649" s="55"/>
      <c r="R1649" s="14"/>
      <c r="S1649" s="14"/>
    </row>
    <row r="1650" spans="2:19" ht="12.95" hidden="1" customHeight="1" x14ac:dyDescent="0.25">
      <c r="B1650" s="16">
        <v>43515.125</v>
      </c>
      <c r="C1650" s="50" t="s">
        <v>1575</v>
      </c>
      <c r="D1650" s="34"/>
      <c r="E1650" s="37">
        <v>4714667</v>
      </c>
      <c r="F1650" s="37"/>
      <c r="G1650" s="37">
        <f t="shared" ref="G1650:G1661" si="294">+E1650</f>
        <v>4714667</v>
      </c>
      <c r="H1650" s="64"/>
      <c r="I1650" s="64"/>
      <c r="J1650" s="64">
        <v>40351.699999999997</v>
      </c>
      <c r="K1650" s="18">
        <f t="shared" ref="K1650:K1661" si="295">+G1650-H1650-I1650-J1650</f>
        <v>4674315.3</v>
      </c>
      <c r="L1650" s="19">
        <f t="shared" ref="L1650:L1661" si="296">+L1649-G1650</f>
        <v>90965333</v>
      </c>
      <c r="M1650" s="20"/>
      <c r="N1650" s="20"/>
      <c r="O1650" s="81">
        <f>+L1661-'[1]ANEXO 7 - PPTO VIG 2019'!T60</f>
        <v>0</v>
      </c>
      <c r="P1650" s="55"/>
      <c r="Q1650" s="55"/>
      <c r="R1650" s="14"/>
      <c r="S1650" s="14"/>
    </row>
    <row r="1651" spans="2:19" ht="12.75" hidden="1" customHeight="1" x14ac:dyDescent="0.25">
      <c r="B1651" s="16">
        <v>43550.083333333336</v>
      </c>
      <c r="C1651" s="50" t="s">
        <v>1576</v>
      </c>
      <c r="D1651" s="34"/>
      <c r="E1651" s="37">
        <v>8320000</v>
      </c>
      <c r="F1651" s="37"/>
      <c r="G1651" s="37">
        <f t="shared" si="294"/>
        <v>8320000</v>
      </c>
      <c r="H1651" s="64"/>
      <c r="I1651" s="64">
        <v>362918.99</v>
      </c>
      <c r="J1651" s="64">
        <v>71208.88</v>
      </c>
      <c r="K1651" s="18">
        <f t="shared" si="295"/>
        <v>7885872.1299999999</v>
      </c>
      <c r="L1651" s="19">
        <f t="shared" si="296"/>
        <v>82645333</v>
      </c>
      <c r="M1651" s="20"/>
      <c r="N1651" s="20"/>
      <c r="O1651" s="81"/>
      <c r="P1651" s="55"/>
      <c r="Q1651" s="55"/>
      <c r="R1651" s="14"/>
      <c r="S1651" s="14"/>
    </row>
    <row r="1652" spans="2:19" ht="12.95" hidden="1" customHeight="1" x14ac:dyDescent="0.25">
      <c r="B1652" s="16">
        <v>43565.083333333336</v>
      </c>
      <c r="C1652" s="50" t="s">
        <v>1577</v>
      </c>
      <c r="D1652" s="34"/>
      <c r="E1652" s="37">
        <v>8320000</v>
      </c>
      <c r="F1652" s="37"/>
      <c r="G1652" s="37">
        <f t="shared" si="294"/>
        <v>8320000</v>
      </c>
      <c r="H1652" s="64"/>
      <c r="I1652" s="64">
        <v>362918.99</v>
      </c>
      <c r="J1652" s="64">
        <v>71208.88</v>
      </c>
      <c r="K1652" s="18">
        <f t="shared" si="295"/>
        <v>7885872.1299999999</v>
      </c>
      <c r="L1652" s="19">
        <f t="shared" si="296"/>
        <v>74325333</v>
      </c>
      <c r="M1652" s="20"/>
      <c r="N1652" s="20"/>
      <c r="O1652" s="81"/>
      <c r="P1652" s="55"/>
      <c r="Q1652" s="55"/>
      <c r="R1652" s="14"/>
      <c r="S1652" s="14"/>
    </row>
    <row r="1653" spans="2:19" ht="12.95" hidden="1" customHeight="1" x14ac:dyDescent="0.25">
      <c r="B1653" s="16">
        <v>43599.083333333336</v>
      </c>
      <c r="C1653" s="50" t="s">
        <v>1578</v>
      </c>
      <c r="D1653" s="34"/>
      <c r="E1653" s="37">
        <v>8320000</v>
      </c>
      <c r="F1653" s="37"/>
      <c r="G1653" s="37">
        <f t="shared" si="294"/>
        <v>8320000</v>
      </c>
      <c r="H1653" s="64"/>
      <c r="I1653" s="64">
        <v>358176.61</v>
      </c>
      <c r="J1653" s="64">
        <v>71208.88</v>
      </c>
      <c r="K1653" s="18">
        <f t="shared" si="295"/>
        <v>7890614.5099999998</v>
      </c>
      <c r="L1653" s="19">
        <f t="shared" si="296"/>
        <v>66005333</v>
      </c>
      <c r="M1653" s="20"/>
      <c r="N1653" s="20"/>
      <c r="O1653" s="81"/>
      <c r="P1653" s="55"/>
      <c r="Q1653" s="55"/>
      <c r="R1653" s="14"/>
      <c r="S1653" s="14"/>
    </row>
    <row r="1654" spans="2:19" ht="12.75" hidden="1" customHeight="1" x14ac:dyDescent="0.25">
      <c r="B1654" s="16">
        <v>43633.083333333336</v>
      </c>
      <c r="C1654" s="50" t="s">
        <v>1579</v>
      </c>
      <c r="D1654" s="34"/>
      <c r="E1654" s="37">
        <v>8320000</v>
      </c>
      <c r="F1654" s="37"/>
      <c r="G1654" s="37">
        <f t="shared" si="294"/>
        <v>8320000</v>
      </c>
      <c r="H1654" s="64"/>
      <c r="I1654" s="64">
        <v>362918.99</v>
      </c>
      <c r="J1654" s="64">
        <v>71208.88</v>
      </c>
      <c r="K1654" s="18">
        <f t="shared" si="295"/>
        <v>7885872.1299999999</v>
      </c>
      <c r="L1654" s="19">
        <f t="shared" si="296"/>
        <v>57685333</v>
      </c>
      <c r="M1654" s="20"/>
      <c r="N1654" s="20"/>
      <c r="O1654" s="81"/>
      <c r="P1654" s="55"/>
      <c r="Q1654" s="55"/>
      <c r="R1654" s="14"/>
      <c r="S1654" s="14"/>
    </row>
    <row r="1655" spans="2:19" ht="12.75" hidden="1" customHeight="1" x14ac:dyDescent="0.25">
      <c r="B1655" s="16">
        <v>43662.083333333336</v>
      </c>
      <c r="C1655" s="50" t="s">
        <v>1580</v>
      </c>
      <c r="D1655" s="34"/>
      <c r="E1655" s="37">
        <v>8320000</v>
      </c>
      <c r="F1655" s="37"/>
      <c r="G1655" s="37">
        <f t="shared" si="294"/>
        <v>8320000</v>
      </c>
      <c r="H1655" s="64"/>
      <c r="I1655" s="64">
        <v>358176.61</v>
      </c>
      <c r="J1655" s="64">
        <v>71208.88</v>
      </c>
      <c r="K1655" s="18">
        <f t="shared" si="295"/>
        <v>7890614.5099999998</v>
      </c>
      <c r="L1655" s="19">
        <f t="shared" si="296"/>
        <v>49365333</v>
      </c>
      <c r="M1655" s="20"/>
      <c r="N1655" s="20"/>
      <c r="O1655" s="81"/>
      <c r="P1655" s="55"/>
      <c r="Q1655" s="55"/>
      <c r="R1655" s="14"/>
      <c r="S1655" s="14"/>
    </row>
    <row r="1656" spans="2:19" ht="12.75" hidden="1" customHeight="1" x14ac:dyDescent="0.25">
      <c r="B1656" s="16">
        <v>43692.083333333336</v>
      </c>
      <c r="C1656" s="50" t="s">
        <v>1581</v>
      </c>
      <c r="D1656" s="34"/>
      <c r="E1656" s="37">
        <v>8320000</v>
      </c>
      <c r="F1656" s="37"/>
      <c r="G1656" s="37">
        <f t="shared" si="294"/>
        <v>8320000</v>
      </c>
      <c r="H1656" s="64"/>
      <c r="I1656" s="64">
        <v>358176.61</v>
      </c>
      <c r="J1656" s="64">
        <v>71208.88</v>
      </c>
      <c r="K1656" s="18">
        <f t="shared" si="295"/>
        <v>7890614.5099999998</v>
      </c>
      <c r="L1656" s="19">
        <f t="shared" si="296"/>
        <v>41045333</v>
      </c>
      <c r="M1656" s="20"/>
      <c r="N1656" s="20"/>
      <c r="O1656" s="81"/>
      <c r="P1656" s="85"/>
      <c r="Q1656" s="85"/>
      <c r="R1656" s="14"/>
      <c r="S1656" s="14"/>
    </row>
    <row r="1657" spans="2:19" ht="12.75" hidden="1" customHeight="1" x14ac:dyDescent="0.25">
      <c r="B1657" s="16">
        <v>43707.083333333336</v>
      </c>
      <c r="C1657" s="50" t="s">
        <v>1582</v>
      </c>
      <c r="D1657" s="34"/>
      <c r="E1657" s="37">
        <v>8320000</v>
      </c>
      <c r="F1657" s="37"/>
      <c r="G1657" s="37">
        <f t="shared" si="294"/>
        <v>8320000</v>
      </c>
      <c r="H1657" s="64"/>
      <c r="I1657" s="64">
        <v>358176.61</v>
      </c>
      <c r="J1657" s="64">
        <v>71208.88</v>
      </c>
      <c r="K1657" s="18">
        <f t="shared" si="295"/>
        <v>7890614.5099999998</v>
      </c>
      <c r="L1657" s="19">
        <f t="shared" si="296"/>
        <v>32725333</v>
      </c>
      <c r="M1657" s="20"/>
      <c r="N1657" s="20"/>
      <c r="O1657" s="81"/>
      <c r="P1657" s="85"/>
      <c r="Q1657" s="85"/>
      <c r="R1657" s="14"/>
      <c r="S1657" s="14"/>
    </row>
    <row r="1658" spans="2:19" ht="12.75" hidden="1" customHeight="1" x14ac:dyDescent="0.25">
      <c r="B1658" s="16">
        <v>43754</v>
      </c>
      <c r="C1658" s="50" t="s">
        <v>1583</v>
      </c>
      <c r="D1658" s="34"/>
      <c r="E1658" s="37">
        <v>8320000</v>
      </c>
      <c r="F1658" s="37"/>
      <c r="G1658" s="37">
        <f t="shared" si="294"/>
        <v>8320000</v>
      </c>
      <c r="H1658" s="64"/>
      <c r="I1658" s="64">
        <v>358176.61</v>
      </c>
      <c r="J1658" s="64">
        <v>71208.88</v>
      </c>
      <c r="K1658" s="18">
        <f t="shared" si="295"/>
        <v>7890614.5099999998</v>
      </c>
      <c r="L1658" s="19">
        <f t="shared" si="296"/>
        <v>24405333</v>
      </c>
      <c r="M1658" s="20"/>
      <c r="N1658" s="20"/>
      <c r="O1658" s="81"/>
      <c r="P1658" s="85"/>
      <c r="Q1658" s="85"/>
      <c r="R1658" s="14"/>
      <c r="S1658" s="14"/>
    </row>
    <row r="1659" spans="2:19" ht="12.75" hidden="1" customHeight="1" x14ac:dyDescent="0.25">
      <c r="B1659" s="16">
        <v>43782.125</v>
      </c>
      <c r="C1659" s="50" t="s">
        <v>1584</v>
      </c>
      <c r="D1659" s="34"/>
      <c r="E1659" s="37">
        <v>8320000</v>
      </c>
      <c r="F1659" s="37"/>
      <c r="G1659" s="37">
        <f t="shared" si="294"/>
        <v>8320000</v>
      </c>
      <c r="H1659" s="64"/>
      <c r="I1659" s="64">
        <v>358176.61</v>
      </c>
      <c r="J1659" s="64">
        <v>71208.88</v>
      </c>
      <c r="K1659" s="18">
        <f t="shared" si="295"/>
        <v>7890614.5099999998</v>
      </c>
      <c r="L1659" s="19">
        <f t="shared" si="296"/>
        <v>16085333</v>
      </c>
      <c r="M1659" s="20"/>
      <c r="N1659" s="20"/>
      <c r="O1659" s="81"/>
      <c r="P1659" s="85"/>
      <c r="Q1659" s="85"/>
      <c r="R1659" s="14"/>
      <c r="S1659" s="14"/>
    </row>
    <row r="1660" spans="2:19" ht="12.75" hidden="1" customHeight="1" x14ac:dyDescent="0.25">
      <c r="B1660" s="16">
        <v>43801.125</v>
      </c>
      <c r="C1660" s="50" t="s">
        <v>1585</v>
      </c>
      <c r="D1660" s="34"/>
      <c r="E1660" s="37">
        <v>8320000</v>
      </c>
      <c r="F1660" s="37"/>
      <c r="G1660" s="37">
        <f t="shared" si="294"/>
        <v>8320000</v>
      </c>
      <c r="H1660" s="64"/>
      <c r="I1660" s="64">
        <v>358176.61</v>
      </c>
      <c r="J1660" s="64">
        <v>71208.88</v>
      </c>
      <c r="K1660" s="18">
        <f t="shared" si="295"/>
        <v>7890614.5099999998</v>
      </c>
      <c r="L1660" s="19">
        <f t="shared" si="296"/>
        <v>7765333</v>
      </c>
      <c r="M1660" s="20"/>
      <c r="N1660" s="20"/>
      <c r="O1660" s="81"/>
      <c r="P1660" s="85"/>
      <c r="Q1660" s="85"/>
      <c r="R1660" s="14"/>
      <c r="S1660" s="14"/>
    </row>
    <row r="1661" spans="2:19" ht="12.75" hidden="1" customHeight="1" x14ac:dyDescent="0.25">
      <c r="B1661" s="16">
        <v>43823.125</v>
      </c>
      <c r="C1661" s="50" t="s">
        <v>1586</v>
      </c>
      <c r="D1661" s="34"/>
      <c r="E1661" s="37">
        <v>7765333</v>
      </c>
      <c r="F1661" s="37"/>
      <c r="G1661" s="37">
        <f t="shared" si="294"/>
        <v>7765333</v>
      </c>
      <c r="H1661" s="64"/>
      <c r="I1661" s="64">
        <v>296367.27</v>
      </c>
      <c r="J1661" s="64">
        <v>66461.62</v>
      </c>
      <c r="K1661" s="18">
        <f t="shared" si="295"/>
        <v>7402504.1100000003</v>
      </c>
      <c r="L1661" s="19">
        <f t="shared" si="296"/>
        <v>0</v>
      </c>
      <c r="M1661" s="20"/>
      <c r="N1661" s="20"/>
      <c r="O1661" s="81"/>
      <c r="P1661" s="85"/>
      <c r="Q1661" s="85"/>
      <c r="R1661" s="14"/>
      <c r="S1661" s="14"/>
    </row>
    <row r="1662" spans="2:19" ht="12.75" hidden="1" customHeight="1" x14ac:dyDescent="0.25">
      <c r="B1662" s="9" t="s">
        <v>1587</v>
      </c>
      <c r="C1662" s="10"/>
      <c r="D1662" s="11">
        <v>122000000</v>
      </c>
      <c r="E1662" s="11">
        <f>+D1662</f>
        <v>122000000</v>
      </c>
      <c r="F1662" s="11"/>
      <c r="G1662" s="11"/>
      <c r="H1662" s="11"/>
      <c r="I1662" s="11"/>
      <c r="J1662" s="11"/>
      <c r="K1662" s="11"/>
      <c r="L1662" s="11">
        <f>+D1662</f>
        <v>122000000</v>
      </c>
      <c r="M1662" s="12"/>
      <c r="N1662" s="12"/>
      <c r="P1662" s="55"/>
      <c r="Q1662" s="55"/>
      <c r="R1662" s="14"/>
      <c r="S1662" s="14"/>
    </row>
    <row r="1663" spans="2:19" ht="12.95" hidden="1" customHeight="1" x14ac:dyDescent="0.25">
      <c r="B1663" s="16">
        <v>43515.125</v>
      </c>
      <c r="C1663" s="50" t="s">
        <v>1588</v>
      </c>
      <c r="D1663" s="34"/>
      <c r="E1663" s="37">
        <v>4266666</v>
      </c>
      <c r="F1663" s="37"/>
      <c r="G1663" s="37">
        <f t="shared" ref="G1663:G1674" si="297">+E1663</f>
        <v>4266666</v>
      </c>
      <c r="H1663" s="64"/>
      <c r="I1663" s="64"/>
      <c r="J1663" s="64">
        <v>36517.370000000003</v>
      </c>
      <c r="K1663" s="18">
        <f t="shared" ref="K1663:K1674" si="298">+G1663-H1663-I1663-J1663</f>
        <v>4230148.63</v>
      </c>
      <c r="L1663" s="19">
        <f t="shared" ref="L1663:L1674" si="299">+L1662-G1663</f>
        <v>117733334</v>
      </c>
      <c r="M1663" s="20"/>
      <c r="N1663" s="20"/>
      <c r="O1663" s="81">
        <f>+L1675-'[1]ANEXO 7 - PPTO VIG 2019'!T12</f>
        <v>0</v>
      </c>
      <c r="P1663" s="55"/>
      <c r="Q1663" s="55"/>
      <c r="R1663" s="14"/>
      <c r="S1663" s="14"/>
    </row>
    <row r="1664" spans="2:19" ht="12.95" hidden="1" customHeight="1" x14ac:dyDescent="0.25">
      <c r="B1664" s="16">
        <v>43546.083333333336</v>
      </c>
      <c r="C1664" s="50" t="s">
        <v>1589</v>
      </c>
      <c r="D1664" s="34"/>
      <c r="E1664" s="37">
        <v>8000000</v>
      </c>
      <c r="F1664" s="37"/>
      <c r="G1664" s="37">
        <f t="shared" si="297"/>
        <v>8000000</v>
      </c>
      <c r="H1664" s="64"/>
      <c r="I1664" s="64">
        <v>470560</v>
      </c>
      <c r="J1664" s="64">
        <v>68470.080000000002</v>
      </c>
      <c r="K1664" s="18">
        <f t="shared" si="298"/>
        <v>7460969.9199999999</v>
      </c>
      <c r="L1664" s="19">
        <f t="shared" si="299"/>
        <v>109733334</v>
      </c>
      <c r="M1664" s="20"/>
      <c r="N1664" s="20"/>
      <c r="O1664" s="81"/>
      <c r="P1664" s="55"/>
      <c r="Q1664" s="55"/>
      <c r="R1664" s="14"/>
      <c r="S1664" s="14"/>
    </row>
    <row r="1665" spans="2:19" ht="12.95" hidden="1" customHeight="1" x14ac:dyDescent="0.25">
      <c r="B1665" s="16">
        <v>43559.083333333336</v>
      </c>
      <c r="C1665" s="50" t="s">
        <v>1590</v>
      </c>
      <c r="D1665" s="34"/>
      <c r="E1665" s="37">
        <v>8000000</v>
      </c>
      <c r="F1665" s="37"/>
      <c r="G1665" s="37">
        <f t="shared" si="297"/>
        <v>8000000</v>
      </c>
      <c r="H1665" s="64"/>
      <c r="I1665" s="64">
        <v>470560</v>
      </c>
      <c r="J1665" s="64">
        <v>68470.080000000002</v>
      </c>
      <c r="K1665" s="18">
        <f t="shared" si="298"/>
        <v>7460969.9199999999</v>
      </c>
      <c r="L1665" s="19">
        <f t="shared" si="299"/>
        <v>101733334</v>
      </c>
      <c r="M1665" s="20"/>
      <c r="N1665" s="20"/>
      <c r="O1665" s="81"/>
      <c r="P1665" s="55"/>
      <c r="Q1665" s="55"/>
      <c r="R1665" s="14"/>
      <c r="S1665" s="14"/>
    </row>
    <row r="1666" spans="2:19" ht="12.95" hidden="1" customHeight="1" x14ac:dyDescent="0.25">
      <c r="B1666" s="16">
        <v>43598.083333333336</v>
      </c>
      <c r="C1666" s="50" t="s">
        <v>1591</v>
      </c>
      <c r="D1666" s="34"/>
      <c r="E1666" s="37">
        <v>8000000</v>
      </c>
      <c r="F1666" s="37"/>
      <c r="G1666" s="37">
        <f t="shared" si="297"/>
        <v>8000000</v>
      </c>
      <c r="H1666" s="64"/>
      <c r="I1666" s="64">
        <v>470560</v>
      </c>
      <c r="J1666" s="64">
        <v>68470.080000000002</v>
      </c>
      <c r="K1666" s="18">
        <f t="shared" si="298"/>
        <v>7460969.9199999999</v>
      </c>
      <c r="L1666" s="19">
        <f t="shared" si="299"/>
        <v>93733334</v>
      </c>
      <c r="M1666" s="20"/>
      <c r="N1666" s="20"/>
      <c r="O1666" s="81"/>
      <c r="P1666" s="55"/>
      <c r="Q1666" s="55"/>
      <c r="R1666" s="14"/>
      <c r="S1666" s="14"/>
    </row>
    <row r="1667" spans="2:19" ht="12.95" hidden="1" customHeight="1" x14ac:dyDescent="0.25">
      <c r="B1667" s="16">
        <v>43630.083333333336</v>
      </c>
      <c r="C1667" s="50" t="s">
        <v>1592</v>
      </c>
      <c r="D1667" s="34"/>
      <c r="E1667" s="37">
        <v>8000000</v>
      </c>
      <c r="F1667" s="37"/>
      <c r="G1667" s="37">
        <f t="shared" si="297"/>
        <v>8000000</v>
      </c>
      <c r="H1667" s="64"/>
      <c r="I1667" s="64">
        <v>470560</v>
      </c>
      <c r="J1667" s="64">
        <v>68470.080000000002</v>
      </c>
      <c r="K1667" s="18">
        <f t="shared" si="298"/>
        <v>7460969.9199999999</v>
      </c>
      <c r="L1667" s="19">
        <f t="shared" si="299"/>
        <v>85733334</v>
      </c>
      <c r="M1667" s="20"/>
      <c r="N1667" s="20"/>
      <c r="O1667" s="81"/>
      <c r="P1667" s="55"/>
      <c r="Q1667" s="55"/>
      <c r="R1667" s="14"/>
      <c r="S1667" s="14"/>
    </row>
    <row r="1668" spans="2:19" ht="12.95" hidden="1" customHeight="1" x14ac:dyDescent="0.25">
      <c r="B1668" s="16">
        <v>43655.083333333336</v>
      </c>
      <c r="C1668" s="50" t="s">
        <v>1593</v>
      </c>
      <c r="D1668" s="34"/>
      <c r="E1668" s="37">
        <v>8000000</v>
      </c>
      <c r="F1668" s="37"/>
      <c r="G1668" s="37">
        <f t="shared" si="297"/>
        <v>8000000</v>
      </c>
      <c r="H1668" s="64"/>
      <c r="I1668" s="64">
        <v>470560</v>
      </c>
      <c r="J1668" s="64">
        <v>68470.080000000002</v>
      </c>
      <c r="K1668" s="18">
        <f t="shared" si="298"/>
        <v>7460969.9199999999</v>
      </c>
      <c r="L1668" s="19">
        <f t="shared" si="299"/>
        <v>77733334</v>
      </c>
      <c r="M1668" s="20"/>
      <c r="N1668" s="20"/>
      <c r="O1668" s="81"/>
      <c r="P1668" s="55"/>
      <c r="Q1668" s="55"/>
      <c r="R1668" s="14"/>
      <c r="S1668" s="14"/>
    </row>
    <row r="1669" spans="2:19" ht="12.75" hidden="1" customHeight="1" x14ac:dyDescent="0.25">
      <c r="B1669" s="16">
        <v>43692.083333333336</v>
      </c>
      <c r="C1669" s="50" t="s">
        <v>1594</v>
      </c>
      <c r="D1669" s="34"/>
      <c r="E1669" s="37">
        <v>8000000</v>
      </c>
      <c r="F1669" s="37"/>
      <c r="G1669" s="37">
        <f t="shared" si="297"/>
        <v>8000000</v>
      </c>
      <c r="H1669" s="64"/>
      <c r="I1669" s="64">
        <v>470560</v>
      </c>
      <c r="J1669" s="64">
        <v>68470.080000000002</v>
      </c>
      <c r="K1669" s="18">
        <f t="shared" si="298"/>
        <v>7460969.9199999999</v>
      </c>
      <c r="L1669" s="19">
        <f t="shared" si="299"/>
        <v>69733334</v>
      </c>
      <c r="M1669" s="20"/>
      <c r="N1669" s="20"/>
      <c r="O1669" s="81"/>
      <c r="P1669" s="85"/>
      <c r="Q1669" s="85"/>
      <c r="R1669" s="14"/>
      <c r="S1669" s="14"/>
    </row>
    <row r="1670" spans="2:19" ht="12.75" hidden="1" customHeight="1" x14ac:dyDescent="0.25">
      <c r="B1670" s="16">
        <v>43714.083333333336</v>
      </c>
      <c r="C1670" s="50" t="s">
        <v>1595</v>
      </c>
      <c r="D1670" s="34"/>
      <c r="E1670" s="37">
        <v>8000000</v>
      </c>
      <c r="F1670" s="37"/>
      <c r="G1670" s="37">
        <f t="shared" si="297"/>
        <v>8000000</v>
      </c>
      <c r="H1670" s="64"/>
      <c r="I1670" s="64">
        <v>470560</v>
      </c>
      <c r="J1670" s="64">
        <v>68470.080000000002</v>
      </c>
      <c r="K1670" s="18">
        <f t="shared" si="298"/>
        <v>7460969.9199999999</v>
      </c>
      <c r="L1670" s="19">
        <f t="shared" si="299"/>
        <v>61733334</v>
      </c>
      <c r="M1670" s="20"/>
      <c r="N1670" s="20"/>
      <c r="O1670" s="81"/>
      <c r="P1670" s="85"/>
      <c r="Q1670" s="85"/>
      <c r="R1670" s="14"/>
      <c r="S1670" s="14"/>
    </row>
    <row r="1671" spans="2:19" ht="12.75" hidden="1" customHeight="1" x14ac:dyDescent="0.25">
      <c r="B1671" s="16">
        <v>43748</v>
      </c>
      <c r="C1671" s="50" t="s">
        <v>1596</v>
      </c>
      <c r="D1671" s="34"/>
      <c r="E1671" s="37">
        <v>8000000</v>
      </c>
      <c r="F1671" s="37"/>
      <c r="G1671" s="37">
        <f t="shared" si="297"/>
        <v>8000000</v>
      </c>
      <c r="H1671" s="64"/>
      <c r="I1671" s="64">
        <v>470560</v>
      </c>
      <c r="J1671" s="64">
        <v>68470.080000000002</v>
      </c>
      <c r="K1671" s="18">
        <f t="shared" si="298"/>
        <v>7460969.9199999999</v>
      </c>
      <c r="L1671" s="19">
        <f t="shared" si="299"/>
        <v>53733334</v>
      </c>
      <c r="M1671" s="20"/>
      <c r="N1671" s="20"/>
      <c r="O1671" s="81"/>
      <c r="P1671" s="85"/>
      <c r="Q1671" s="85"/>
      <c r="R1671" s="14"/>
      <c r="S1671" s="14"/>
    </row>
    <row r="1672" spans="2:19" ht="12.75" hidden="1" customHeight="1" x14ac:dyDescent="0.25">
      <c r="B1672" s="16">
        <v>43789.125</v>
      </c>
      <c r="C1672" s="50" t="s">
        <v>1597</v>
      </c>
      <c r="D1672" s="34"/>
      <c r="E1672" s="37">
        <v>8000000</v>
      </c>
      <c r="F1672" s="37"/>
      <c r="G1672" s="37">
        <f t="shared" si="297"/>
        <v>8000000</v>
      </c>
      <c r="H1672" s="64"/>
      <c r="I1672" s="64">
        <v>470560</v>
      </c>
      <c r="J1672" s="64">
        <v>68470.080000000002</v>
      </c>
      <c r="K1672" s="18">
        <f t="shared" si="298"/>
        <v>7460969.9199999999</v>
      </c>
      <c r="L1672" s="19">
        <f t="shared" si="299"/>
        <v>45733334</v>
      </c>
      <c r="M1672" s="20"/>
      <c r="N1672" s="20"/>
      <c r="O1672" s="81"/>
      <c r="P1672" s="85"/>
      <c r="Q1672" s="85"/>
      <c r="R1672" s="14"/>
      <c r="S1672" s="14"/>
    </row>
    <row r="1673" spans="2:19" ht="12.75" hidden="1" customHeight="1" x14ac:dyDescent="0.25">
      <c r="B1673" s="16">
        <v>43811.125</v>
      </c>
      <c r="C1673" s="50" t="s">
        <v>1598</v>
      </c>
      <c r="D1673" s="34"/>
      <c r="E1673" s="37">
        <v>8000000</v>
      </c>
      <c r="F1673" s="37"/>
      <c r="G1673" s="37">
        <f t="shared" si="297"/>
        <v>8000000</v>
      </c>
      <c r="H1673" s="64"/>
      <c r="I1673" s="64">
        <v>470560</v>
      </c>
      <c r="J1673" s="64">
        <v>68470.080000000002</v>
      </c>
      <c r="K1673" s="18">
        <f t="shared" si="298"/>
        <v>7460969.9199999999</v>
      </c>
      <c r="L1673" s="19">
        <f t="shared" si="299"/>
        <v>37733334</v>
      </c>
      <c r="M1673" s="20"/>
      <c r="N1673" s="20"/>
      <c r="O1673" s="81"/>
      <c r="P1673" s="85"/>
      <c r="Q1673" s="85"/>
      <c r="R1673" s="14"/>
      <c r="S1673" s="14"/>
    </row>
    <row r="1674" spans="2:19" ht="12.75" hidden="1" customHeight="1" x14ac:dyDescent="0.25">
      <c r="B1674" s="16">
        <v>43826.125</v>
      </c>
      <c r="C1674" s="50" t="s">
        <v>1599</v>
      </c>
      <c r="D1674" s="34"/>
      <c r="E1674" s="37">
        <v>7733334</v>
      </c>
      <c r="F1674" s="37"/>
      <c r="G1674" s="37">
        <f t="shared" si="297"/>
        <v>7733334</v>
      </c>
      <c r="H1674" s="64"/>
      <c r="I1674" s="64">
        <v>420944.13</v>
      </c>
      <c r="J1674" s="64">
        <v>66187.75</v>
      </c>
      <c r="K1674" s="18">
        <f t="shared" si="298"/>
        <v>7246202.1200000001</v>
      </c>
      <c r="L1674" s="19">
        <f t="shared" si="299"/>
        <v>30000000</v>
      </c>
      <c r="M1674" s="20"/>
      <c r="N1674" s="20"/>
      <c r="O1674" s="81"/>
      <c r="P1674" s="85"/>
      <c r="Q1674" s="85"/>
      <c r="R1674" s="14"/>
      <c r="S1674" s="14"/>
    </row>
    <row r="1675" spans="2:19" ht="12.75" hidden="1" customHeight="1" x14ac:dyDescent="0.25">
      <c r="B1675" s="16"/>
      <c r="C1675" s="50" t="s">
        <v>654</v>
      </c>
      <c r="D1675" s="34"/>
      <c r="E1675" s="37">
        <v>30000000</v>
      </c>
      <c r="F1675" s="37"/>
      <c r="G1675" s="37"/>
      <c r="H1675" s="64"/>
      <c r="I1675" s="91"/>
      <c r="J1675" s="91"/>
      <c r="K1675" s="18"/>
      <c r="L1675" s="19">
        <f>+L1674-E1675</f>
        <v>0</v>
      </c>
      <c r="M1675" s="20"/>
      <c r="N1675" s="20"/>
      <c r="O1675" s="81"/>
      <c r="P1675" s="85"/>
      <c r="Q1675" s="85"/>
      <c r="R1675" s="14"/>
      <c r="S1675" s="14"/>
    </row>
    <row r="1676" spans="2:19" ht="12.75" hidden="1" customHeight="1" x14ac:dyDescent="0.25">
      <c r="B1676" s="9" t="s">
        <v>1600</v>
      </c>
      <c r="C1676" s="10"/>
      <c r="D1676" s="11">
        <v>83720000</v>
      </c>
      <c r="E1676" s="11">
        <f>+D1676</f>
        <v>83720000</v>
      </c>
      <c r="F1676" s="11"/>
      <c r="G1676" s="11"/>
      <c r="H1676" s="11"/>
      <c r="I1676" s="11"/>
      <c r="J1676" s="11"/>
      <c r="K1676" s="11"/>
      <c r="L1676" s="11">
        <f>+D1676</f>
        <v>83720000</v>
      </c>
      <c r="M1676" s="12"/>
      <c r="N1676" s="12"/>
      <c r="P1676" s="55"/>
      <c r="Q1676" s="55"/>
      <c r="R1676" s="14"/>
      <c r="S1676" s="14"/>
    </row>
    <row r="1677" spans="2:19" ht="12.75" hidden="1" customHeight="1" x14ac:dyDescent="0.25">
      <c r="B1677" s="16">
        <v>43516.125</v>
      </c>
      <c r="C1677" s="50" t="s">
        <v>1601</v>
      </c>
      <c r="D1677" s="34"/>
      <c r="E1677" s="37">
        <v>3397333</v>
      </c>
      <c r="F1677" s="37"/>
      <c r="G1677" s="37">
        <f t="shared" ref="G1677:G1685" si="300">+E1677</f>
        <v>3397333</v>
      </c>
      <c r="H1677" s="64"/>
      <c r="I1677" s="64"/>
      <c r="J1677" s="64">
        <v>29076.959999999999</v>
      </c>
      <c r="K1677" s="18">
        <f t="shared" ref="K1677:K1685" si="301">+G1677-H1677-I1677-J1677</f>
        <v>3368256.04</v>
      </c>
      <c r="L1677" s="19">
        <f t="shared" ref="L1677:L1685" si="302">+L1676-G1677</f>
        <v>80322667</v>
      </c>
      <c r="M1677" s="20"/>
      <c r="N1677" s="20"/>
      <c r="O1677" s="81">
        <f>+L1686-'[1]ANEXO 7 - PPTO VIG 2019'!T13</f>
        <v>0</v>
      </c>
      <c r="P1677" s="55"/>
      <c r="Q1677" s="55"/>
      <c r="R1677" s="14"/>
      <c r="S1677" s="14"/>
    </row>
    <row r="1678" spans="2:19" ht="12.75" hidden="1" customHeight="1" x14ac:dyDescent="0.25">
      <c r="B1678" s="16">
        <v>43546.083333333336</v>
      </c>
      <c r="C1678" s="50" t="s">
        <v>1602</v>
      </c>
      <c r="D1678" s="34"/>
      <c r="E1678" s="37">
        <v>7280000</v>
      </c>
      <c r="F1678" s="37"/>
      <c r="G1678" s="37">
        <f t="shared" si="300"/>
        <v>7280000</v>
      </c>
      <c r="H1678" s="64"/>
      <c r="I1678" s="64">
        <v>246733.03</v>
      </c>
      <c r="J1678" s="64">
        <v>62307.77</v>
      </c>
      <c r="K1678" s="18">
        <f t="shared" si="301"/>
        <v>6970959.2000000002</v>
      </c>
      <c r="L1678" s="19">
        <f t="shared" si="302"/>
        <v>73042667</v>
      </c>
      <c r="M1678" s="20"/>
      <c r="N1678" s="20"/>
      <c r="O1678" s="81"/>
      <c r="P1678" s="55"/>
      <c r="Q1678" s="55"/>
      <c r="R1678" s="14"/>
      <c r="S1678" s="14"/>
    </row>
    <row r="1679" spans="2:19" ht="12.75" hidden="1" customHeight="1" x14ac:dyDescent="0.25">
      <c r="B1679" s="16">
        <v>43558.083333333336</v>
      </c>
      <c r="C1679" s="50" t="s">
        <v>1603</v>
      </c>
      <c r="D1679" s="34"/>
      <c r="E1679" s="37">
        <v>7280000</v>
      </c>
      <c r="F1679" s="37"/>
      <c r="G1679" s="37">
        <f t="shared" si="300"/>
        <v>7280000</v>
      </c>
      <c r="H1679" s="64"/>
      <c r="I1679" s="64">
        <v>246733.03</v>
      </c>
      <c r="J1679" s="64">
        <v>62307.77</v>
      </c>
      <c r="K1679" s="18">
        <f t="shared" si="301"/>
        <v>6970959.2000000002</v>
      </c>
      <c r="L1679" s="19">
        <f t="shared" si="302"/>
        <v>65762667</v>
      </c>
      <c r="M1679" s="20"/>
      <c r="N1679" s="20"/>
      <c r="O1679" s="81"/>
      <c r="P1679" s="55"/>
      <c r="Q1679" s="55"/>
      <c r="R1679" s="14"/>
      <c r="S1679" s="14"/>
    </row>
    <row r="1680" spans="2:19" ht="12.75" hidden="1" customHeight="1" x14ac:dyDescent="0.25">
      <c r="B1680" s="16">
        <v>43593.083333333336</v>
      </c>
      <c r="C1680" s="50" t="s">
        <v>1604</v>
      </c>
      <c r="D1680" s="34"/>
      <c r="E1680" s="37">
        <v>7280000</v>
      </c>
      <c r="F1680" s="37"/>
      <c r="G1680" s="37">
        <f t="shared" si="300"/>
        <v>7280000</v>
      </c>
      <c r="H1680" s="64"/>
      <c r="I1680" s="64">
        <v>246733.03</v>
      </c>
      <c r="J1680" s="64">
        <v>62307.77</v>
      </c>
      <c r="K1680" s="18">
        <f t="shared" si="301"/>
        <v>6970959.2000000002</v>
      </c>
      <c r="L1680" s="19">
        <f t="shared" si="302"/>
        <v>58482667</v>
      </c>
      <c r="M1680" s="20"/>
      <c r="N1680" s="20"/>
      <c r="O1680" s="81"/>
      <c r="P1680" s="55"/>
      <c r="Q1680" s="55"/>
      <c r="R1680" s="14"/>
      <c r="S1680" s="14"/>
    </row>
    <row r="1681" spans="2:19" ht="12.75" hidden="1" customHeight="1" x14ac:dyDescent="0.25">
      <c r="B1681" s="16">
        <v>43623.083333333336</v>
      </c>
      <c r="C1681" s="50" t="s">
        <v>1605</v>
      </c>
      <c r="D1681" s="34"/>
      <c r="E1681" s="37">
        <v>7280000</v>
      </c>
      <c r="F1681" s="37"/>
      <c r="G1681" s="37">
        <f t="shared" si="300"/>
        <v>7280000</v>
      </c>
      <c r="H1681" s="64"/>
      <c r="I1681" s="64">
        <v>246733.03</v>
      </c>
      <c r="J1681" s="64">
        <v>62307.77</v>
      </c>
      <c r="K1681" s="18">
        <f t="shared" si="301"/>
        <v>6970959.2000000002</v>
      </c>
      <c r="L1681" s="19">
        <f t="shared" si="302"/>
        <v>51202667</v>
      </c>
      <c r="M1681" s="20"/>
      <c r="N1681" s="20"/>
      <c r="O1681" s="81"/>
      <c r="P1681" s="55"/>
      <c r="Q1681" s="55"/>
      <c r="R1681" s="14"/>
      <c r="S1681" s="14"/>
    </row>
    <row r="1682" spans="2:19" ht="12.75" hidden="1" customHeight="1" x14ac:dyDescent="0.25">
      <c r="B1682" s="16">
        <v>43661.083333333336</v>
      </c>
      <c r="C1682" s="50" t="s">
        <v>1606</v>
      </c>
      <c r="D1682" s="34"/>
      <c r="E1682" s="37">
        <v>7280000</v>
      </c>
      <c r="F1682" s="37"/>
      <c r="G1682" s="37">
        <f t="shared" si="300"/>
        <v>7280000</v>
      </c>
      <c r="H1682" s="64"/>
      <c r="I1682" s="64">
        <v>350473.05</v>
      </c>
      <c r="J1682" s="64">
        <v>62307.77</v>
      </c>
      <c r="K1682" s="18">
        <f t="shared" si="301"/>
        <v>6867219.1800000006</v>
      </c>
      <c r="L1682" s="19">
        <f t="shared" si="302"/>
        <v>43922667</v>
      </c>
      <c r="M1682" s="20"/>
      <c r="N1682" s="20"/>
      <c r="O1682" s="81"/>
      <c r="P1682" s="55"/>
      <c r="Q1682" s="55"/>
      <c r="R1682" s="14"/>
      <c r="S1682" s="14"/>
    </row>
    <row r="1683" spans="2:19" ht="12.75" hidden="1" customHeight="1" x14ac:dyDescent="0.25">
      <c r="B1683" s="16">
        <v>43689.083333333336</v>
      </c>
      <c r="C1683" s="50" t="s">
        <v>1607</v>
      </c>
      <c r="D1683" s="34"/>
      <c r="E1683" s="37">
        <v>7280000</v>
      </c>
      <c r="F1683" s="37"/>
      <c r="G1683" s="37">
        <f t="shared" si="300"/>
        <v>7280000</v>
      </c>
      <c r="H1683" s="64"/>
      <c r="I1683" s="64">
        <v>246733.03</v>
      </c>
      <c r="J1683" s="64">
        <v>62307.77</v>
      </c>
      <c r="K1683" s="18">
        <f t="shared" si="301"/>
        <v>6970959.2000000002</v>
      </c>
      <c r="L1683" s="19">
        <f t="shared" si="302"/>
        <v>36642667</v>
      </c>
      <c r="M1683" s="20"/>
      <c r="N1683" s="20"/>
      <c r="O1683" s="81"/>
      <c r="P1683" s="85"/>
      <c r="Q1683" s="85"/>
      <c r="R1683" s="14"/>
      <c r="S1683" s="14"/>
    </row>
    <row r="1684" spans="2:19" ht="12.75" hidden="1" customHeight="1" x14ac:dyDescent="0.25">
      <c r="B1684" s="16">
        <v>43707.083333333336</v>
      </c>
      <c r="C1684" s="50" t="s">
        <v>1608</v>
      </c>
      <c r="D1684" s="34"/>
      <c r="E1684" s="37">
        <v>7280000</v>
      </c>
      <c r="F1684" s="37"/>
      <c r="G1684" s="37">
        <f t="shared" si="300"/>
        <v>7280000</v>
      </c>
      <c r="H1684" s="64"/>
      <c r="I1684" s="64">
        <v>246733.03</v>
      </c>
      <c r="J1684" s="64">
        <v>62307.77</v>
      </c>
      <c r="K1684" s="18">
        <f t="shared" si="301"/>
        <v>6970959.2000000002</v>
      </c>
      <c r="L1684" s="19">
        <f t="shared" si="302"/>
        <v>29362667</v>
      </c>
      <c r="M1684" s="20"/>
      <c r="N1684" s="20"/>
      <c r="O1684" s="81"/>
      <c r="P1684" s="85"/>
      <c r="Q1684" s="85"/>
      <c r="R1684" s="14"/>
      <c r="S1684" s="14"/>
    </row>
    <row r="1685" spans="2:19" ht="12.75" hidden="1" customHeight="1" x14ac:dyDescent="0.25">
      <c r="B1685" s="16">
        <v>43823.125</v>
      </c>
      <c r="C1685" s="50" t="s">
        <v>1609</v>
      </c>
      <c r="D1685" s="34"/>
      <c r="E1685" s="37">
        <v>485333</v>
      </c>
      <c r="F1685" s="37"/>
      <c r="G1685" s="37">
        <f t="shared" si="300"/>
        <v>485333</v>
      </c>
      <c r="H1685" s="64"/>
      <c r="I1685" s="64"/>
      <c r="J1685" s="64">
        <v>4153.8500000000004</v>
      </c>
      <c r="K1685" s="18">
        <f t="shared" si="301"/>
        <v>481179.15</v>
      </c>
      <c r="L1685" s="19">
        <f t="shared" si="302"/>
        <v>28877334</v>
      </c>
      <c r="M1685" s="20"/>
      <c r="N1685" s="20"/>
      <c r="O1685" s="81"/>
      <c r="P1685" s="85"/>
      <c r="Q1685" s="85"/>
      <c r="R1685" s="14"/>
      <c r="S1685" s="14"/>
    </row>
    <row r="1686" spans="2:19" ht="12.75" hidden="1" customHeight="1" x14ac:dyDescent="0.25">
      <c r="B1686" s="16"/>
      <c r="C1686" s="50" t="s">
        <v>654</v>
      </c>
      <c r="D1686" s="34"/>
      <c r="E1686" s="37">
        <v>28877334</v>
      </c>
      <c r="F1686" s="37"/>
      <c r="G1686" s="37"/>
      <c r="H1686" s="64"/>
      <c r="I1686" s="64"/>
      <c r="J1686" s="64"/>
      <c r="K1686" s="18"/>
      <c r="L1686" s="19">
        <f>+L1685-E1686</f>
        <v>0</v>
      </c>
      <c r="M1686" s="20"/>
      <c r="N1686" s="20"/>
      <c r="O1686" s="81"/>
      <c r="P1686" s="85"/>
      <c r="Q1686" s="85"/>
      <c r="R1686" s="14"/>
      <c r="S1686" s="14"/>
    </row>
    <row r="1687" spans="2:19" ht="12.75" hidden="1" customHeight="1" x14ac:dyDescent="0.25">
      <c r="B1687" s="9" t="s">
        <v>1610</v>
      </c>
      <c r="C1687" s="10"/>
      <c r="D1687" s="11">
        <v>59800000</v>
      </c>
      <c r="E1687" s="11">
        <f>+D1687</f>
        <v>59800000</v>
      </c>
      <c r="F1687" s="11"/>
      <c r="G1687" s="11"/>
      <c r="H1687" s="11"/>
      <c r="I1687" s="11"/>
      <c r="J1687" s="11"/>
      <c r="K1687" s="11"/>
      <c r="L1687" s="11">
        <f>+D1687</f>
        <v>59800000</v>
      </c>
      <c r="M1687" s="12"/>
      <c r="N1687" s="12"/>
      <c r="P1687" s="55"/>
      <c r="Q1687" s="55"/>
      <c r="R1687" s="14"/>
      <c r="S1687" s="14"/>
    </row>
    <row r="1688" spans="2:19" ht="12.75" hidden="1" customHeight="1" x14ac:dyDescent="0.25">
      <c r="B1688" s="16">
        <v>43516.125</v>
      </c>
      <c r="C1688" s="50" t="s">
        <v>1611</v>
      </c>
      <c r="D1688" s="34"/>
      <c r="E1688" s="37">
        <v>2733333</v>
      </c>
      <c r="F1688" s="37"/>
      <c r="G1688" s="37">
        <f t="shared" ref="G1688:G1700" si="303">+E1688</f>
        <v>2733333</v>
      </c>
      <c r="H1688" s="64"/>
      <c r="I1688" s="64"/>
      <c r="J1688" s="64">
        <v>23393.94</v>
      </c>
      <c r="K1688" s="18">
        <f t="shared" ref="K1688:K1700" si="304">+G1688-H1688-I1688-J1688</f>
        <v>2709939.06</v>
      </c>
      <c r="L1688" s="19">
        <f t="shared" ref="L1688:L1700" si="305">+L1687-G1688</f>
        <v>57066667</v>
      </c>
      <c r="M1688" s="20"/>
      <c r="N1688" s="20"/>
      <c r="O1688" s="81">
        <f>+L1700-'[1]ANEXO 7 - PPTO VIG 2019'!T61</f>
        <v>0</v>
      </c>
      <c r="P1688" s="55"/>
      <c r="Q1688" s="55"/>
      <c r="R1688" s="14"/>
      <c r="S1688" s="14"/>
    </row>
    <row r="1689" spans="2:19" ht="12.75" hidden="1" customHeight="1" x14ac:dyDescent="0.25">
      <c r="B1689" s="16">
        <v>43567.083333333336</v>
      </c>
      <c r="C1689" s="50" t="s">
        <v>1612</v>
      </c>
      <c r="D1689" s="34"/>
      <c r="E1689" s="37">
        <v>5200000</v>
      </c>
      <c r="F1689" s="37"/>
      <c r="G1689" s="37">
        <f t="shared" si="303"/>
        <v>5200000</v>
      </c>
      <c r="H1689" s="64"/>
      <c r="I1689" s="64">
        <v>88489.66</v>
      </c>
      <c r="J1689" s="64">
        <v>44505.55</v>
      </c>
      <c r="K1689" s="18">
        <f t="shared" si="304"/>
        <v>5067004.79</v>
      </c>
      <c r="L1689" s="19">
        <f t="shared" si="305"/>
        <v>51866667</v>
      </c>
      <c r="M1689" s="20"/>
      <c r="N1689" s="20"/>
      <c r="O1689" s="81"/>
      <c r="P1689" s="55"/>
      <c r="Q1689" s="55"/>
      <c r="R1689" s="14"/>
      <c r="S1689" s="14"/>
    </row>
    <row r="1690" spans="2:19" ht="12.75" hidden="1" customHeight="1" x14ac:dyDescent="0.25">
      <c r="B1690" s="16">
        <v>43578.083333333336</v>
      </c>
      <c r="C1690" s="50" t="s">
        <v>1613</v>
      </c>
      <c r="D1690" s="34"/>
      <c r="E1690" s="37">
        <v>5200000</v>
      </c>
      <c r="F1690" s="37"/>
      <c r="G1690" s="37">
        <f t="shared" si="303"/>
        <v>5200000</v>
      </c>
      <c r="H1690" s="64"/>
      <c r="I1690" s="64">
        <v>88489.66</v>
      </c>
      <c r="J1690" s="64">
        <v>44505.55</v>
      </c>
      <c r="K1690" s="18">
        <f t="shared" si="304"/>
        <v>5067004.79</v>
      </c>
      <c r="L1690" s="19">
        <f t="shared" si="305"/>
        <v>46666667</v>
      </c>
      <c r="M1690" s="20"/>
      <c r="N1690" s="20"/>
      <c r="O1690" s="81"/>
      <c r="P1690" s="55"/>
      <c r="Q1690" s="55"/>
      <c r="R1690" s="14"/>
      <c r="S1690" s="14"/>
    </row>
    <row r="1691" spans="2:19" ht="12.75" hidden="1" customHeight="1" x14ac:dyDescent="0.25">
      <c r="B1691" s="16">
        <v>43605.083333333336</v>
      </c>
      <c r="C1691" s="50" t="s">
        <v>1614</v>
      </c>
      <c r="D1691" s="34"/>
      <c r="E1691" s="37">
        <v>5200000</v>
      </c>
      <c r="F1691" s="37"/>
      <c r="G1691" s="37">
        <f t="shared" si="303"/>
        <v>5200000</v>
      </c>
      <c r="H1691" s="64"/>
      <c r="I1691" s="64">
        <v>88489.66</v>
      </c>
      <c r="J1691" s="64">
        <v>44505.55</v>
      </c>
      <c r="K1691" s="18">
        <f t="shared" si="304"/>
        <v>5067004.79</v>
      </c>
      <c r="L1691" s="19">
        <f t="shared" si="305"/>
        <v>41466667</v>
      </c>
      <c r="M1691" s="20"/>
      <c r="N1691" s="20"/>
      <c r="O1691" s="81"/>
      <c r="P1691" s="55"/>
      <c r="Q1691" s="55"/>
      <c r="R1691" s="14"/>
      <c r="S1691" s="14"/>
    </row>
    <row r="1692" spans="2:19" ht="12.75" hidden="1" customHeight="1" x14ac:dyDescent="0.25">
      <c r="B1692" s="16">
        <v>43615.083333333336</v>
      </c>
      <c r="C1692" s="50" t="s">
        <v>1615</v>
      </c>
      <c r="D1692" s="34"/>
      <c r="E1692" s="37">
        <v>40000</v>
      </c>
      <c r="F1692" s="37"/>
      <c r="G1692" s="37">
        <f t="shared" si="303"/>
        <v>40000</v>
      </c>
      <c r="H1692" s="64"/>
      <c r="I1692" s="64"/>
      <c r="J1692" s="64">
        <v>342.35</v>
      </c>
      <c r="K1692" s="18">
        <f t="shared" si="304"/>
        <v>39657.65</v>
      </c>
      <c r="L1692" s="19">
        <f t="shared" si="305"/>
        <v>41426667</v>
      </c>
      <c r="M1692" s="20"/>
      <c r="N1692" s="20"/>
      <c r="O1692" s="81"/>
      <c r="P1692" s="55"/>
      <c r="Q1692" s="55"/>
      <c r="R1692" s="14"/>
      <c r="S1692" s="14"/>
    </row>
    <row r="1693" spans="2:19" ht="12.75" hidden="1" customHeight="1" x14ac:dyDescent="0.25">
      <c r="B1693" s="16">
        <v>43628.083333333336</v>
      </c>
      <c r="C1693" s="50" t="s">
        <v>1616</v>
      </c>
      <c r="D1693" s="34"/>
      <c r="E1693" s="37">
        <v>5200000</v>
      </c>
      <c r="F1693" s="37"/>
      <c r="G1693" s="37">
        <f t="shared" si="303"/>
        <v>5200000</v>
      </c>
      <c r="H1693" s="64"/>
      <c r="I1693" s="64">
        <v>88489.66</v>
      </c>
      <c r="J1693" s="64">
        <v>44505.55</v>
      </c>
      <c r="K1693" s="18">
        <f t="shared" si="304"/>
        <v>5067004.79</v>
      </c>
      <c r="L1693" s="19">
        <f t="shared" si="305"/>
        <v>36226667</v>
      </c>
      <c r="M1693" s="20"/>
      <c r="N1693" s="20"/>
      <c r="O1693" s="81"/>
      <c r="P1693" s="55"/>
      <c r="Q1693" s="55"/>
      <c r="R1693" s="14"/>
      <c r="S1693" s="14"/>
    </row>
    <row r="1694" spans="2:19" ht="12.75" hidden="1" customHeight="1" x14ac:dyDescent="0.25">
      <c r="B1694" s="16">
        <v>43676.083333333336</v>
      </c>
      <c r="C1694" s="50" t="s">
        <v>1617</v>
      </c>
      <c r="D1694" s="34"/>
      <c r="E1694" s="37">
        <v>5200000</v>
      </c>
      <c r="F1694" s="37"/>
      <c r="G1694" s="37">
        <f t="shared" si="303"/>
        <v>5200000</v>
      </c>
      <c r="H1694" s="64"/>
      <c r="I1694" s="64">
        <v>88489.66</v>
      </c>
      <c r="J1694" s="64">
        <v>44505.55</v>
      </c>
      <c r="K1694" s="18">
        <f t="shared" si="304"/>
        <v>5067004.79</v>
      </c>
      <c r="L1694" s="19">
        <f t="shared" si="305"/>
        <v>31026667</v>
      </c>
      <c r="M1694" s="20"/>
      <c r="N1694" s="20"/>
      <c r="O1694" s="81"/>
      <c r="P1694" s="55"/>
      <c r="Q1694" s="55"/>
      <c r="R1694" s="14"/>
      <c r="S1694" s="14"/>
    </row>
    <row r="1695" spans="2:19" ht="12.75" hidden="1" customHeight="1" x14ac:dyDescent="0.25">
      <c r="B1695" s="16">
        <v>43699.083333333336</v>
      </c>
      <c r="C1695" s="50" t="s">
        <v>1618</v>
      </c>
      <c r="D1695" s="34"/>
      <c r="E1695" s="37">
        <v>5200000</v>
      </c>
      <c r="F1695" s="37"/>
      <c r="G1695" s="37">
        <f t="shared" si="303"/>
        <v>5200000</v>
      </c>
      <c r="H1695" s="64"/>
      <c r="I1695" s="64">
        <v>88489.66</v>
      </c>
      <c r="J1695" s="64">
        <v>44505.55</v>
      </c>
      <c r="K1695" s="18">
        <f t="shared" si="304"/>
        <v>5067004.79</v>
      </c>
      <c r="L1695" s="19">
        <f t="shared" si="305"/>
        <v>25826667</v>
      </c>
      <c r="M1695" s="20"/>
      <c r="N1695" s="20"/>
      <c r="O1695" s="81"/>
      <c r="P1695" s="85"/>
      <c r="Q1695" s="85"/>
      <c r="R1695" s="14"/>
      <c r="S1695" s="14"/>
    </row>
    <row r="1696" spans="2:19" ht="12.75" hidden="1" customHeight="1" x14ac:dyDescent="0.25">
      <c r="B1696" s="16">
        <v>43735.083333333336</v>
      </c>
      <c r="C1696" s="50" t="s">
        <v>1619</v>
      </c>
      <c r="D1696" s="34"/>
      <c r="E1696" s="37">
        <v>5200000</v>
      </c>
      <c r="F1696" s="37"/>
      <c r="G1696" s="37">
        <f t="shared" si="303"/>
        <v>5200000</v>
      </c>
      <c r="H1696" s="64"/>
      <c r="I1696" s="64">
        <v>88489.66</v>
      </c>
      <c r="J1696" s="64">
        <v>44505.55</v>
      </c>
      <c r="K1696" s="18">
        <f t="shared" si="304"/>
        <v>5067004.79</v>
      </c>
      <c r="L1696" s="19">
        <f t="shared" si="305"/>
        <v>20626667</v>
      </c>
      <c r="M1696" s="20"/>
      <c r="N1696" s="20"/>
      <c r="O1696" s="81"/>
      <c r="P1696" s="85"/>
      <c r="Q1696" s="85"/>
      <c r="R1696" s="14"/>
      <c r="S1696" s="14"/>
    </row>
    <row r="1697" spans="2:19" ht="12.75" hidden="1" customHeight="1" x14ac:dyDescent="0.25">
      <c r="B1697" s="16">
        <v>43777.125</v>
      </c>
      <c r="C1697" s="50" t="s">
        <v>1620</v>
      </c>
      <c r="D1697" s="34"/>
      <c r="E1697" s="37">
        <v>5200000</v>
      </c>
      <c r="F1697" s="37"/>
      <c r="G1697" s="37">
        <f t="shared" si="303"/>
        <v>5200000</v>
      </c>
      <c r="H1697" s="64"/>
      <c r="I1697" s="64">
        <v>88489.66</v>
      </c>
      <c r="J1697" s="64">
        <v>44505.55</v>
      </c>
      <c r="K1697" s="18">
        <f t="shared" si="304"/>
        <v>5067004.79</v>
      </c>
      <c r="L1697" s="19">
        <f t="shared" si="305"/>
        <v>15426667</v>
      </c>
      <c r="M1697" s="20"/>
      <c r="N1697" s="20"/>
      <c r="O1697" s="81"/>
      <c r="P1697" s="85"/>
      <c r="Q1697" s="85"/>
      <c r="R1697" s="14"/>
      <c r="S1697" s="14"/>
    </row>
    <row r="1698" spans="2:19" ht="12.75" hidden="1" customHeight="1" x14ac:dyDescent="0.25">
      <c r="B1698" s="16">
        <v>43815.125</v>
      </c>
      <c r="C1698" s="50" t="s">
        <v>1621</v>
      </c>
      <c r="D1698" s="34"/>
      <c r="E1698" s="37">
        <v>5200000</v>
      </c>
      <c r="F1698" s="37"/>
      <c r="G1698" s="37">
        <f t="shared" si="303"/>
        <v>5200000</v>
      </c>
      <c r="H1698" s="64"/>
      <c r="I1698" s="64">
        <v>88489.66</v>
      </c>
      <c r="J1698" s="64">
        <v>44505.55</v>
      </c>
      <c r="K1698" s="18">
        <f t="shared" si="304"/>
        <v>5067004.79</v>
      </c>
      <c r="L1698" s="19">
        <f t="shared" si="305"/>
        <v>10226667</v>
      </c>
      <c r="M1698" s="20"/>
      <c r="N1698" s="20"/>
      <c r="O1698" s="81"/>
      <c r="P1698" s="85"/>
      <c r="Q1698" s="85"/>
      <c r="R1698" s="14"/>
      <c r="S1698" s="14"/>
    </row>
    <row r="1699" spans="2:19" ht="12.75" hidden="1" customHeight="1" x14ac:dyDescent="0.25">
      <c r="B1699" s="16">
        <v>43826.125</v>
      </c>
      <c r="C1699" s="50" t="s">
        <v>1622</v>
      </c>
      <c r="D1699" s="34"/>
      <c r="E1699" s="37">
        <v>5200000</v>
      </c>
      <c r="F1699" s="37"/>
      <c r="G1699" s="37">
        <f t="shared" si="303"/>
        <v>5200000</v>
      </c>
      <c r="H1699" s="64"/>
      <c r="I1699" s="64">
        <v>88489.66</v>
      </c>
      <c r="J1699" s="64">
        <v>44505.55</v>
      </c>
      <c r="K1699" s="18">
        <f t="shared" si="304"/>
        <v>5067004.79</v>
      </c>
      <c r="L1699" s="19">
        <f t="shared" si="305"/>
        <v>5026667</v>
      </c>
      <c r="M1699" s="20"/>
      <c r="N1699" s="20"/>
      <c r="O1699" s="81"/>
      <c r="P1699" s="85"/>
      <c r="Q1699" s="85"/>
      <c r="R1699" s="14"/>
      <c r="S1699" s="14"/>
    </row>
    <row r="1700" spans="2:19" ht="12.75" hidden="1" customHeight="1" x14ac:dyDescent="0.25">
      <c r="B1700" s="16">
        <v>43872.125</v>
      </c>
      <c r="C1700" s="50" t="s">
        <v>1623</v>
      </c>
      <c r="D1700" s="34"/>
      <c r="E1700" s="37">
        <v>5026667</v>
      </c>
      <c r="F1700" s="37"/>
      <c r="G1700" s="37">
        <f t="shared" si="303"/>
        <v>5026667</v>
      </c>
      <c r="H1700" s="64"/>
      <c r="I1700" s="64"/>
      <c r="J1700" s="64">
        <v>43022.04</v>
      </c>
      <c r="K1700" s="18">
        <f t="shared" si="304"/>
        <v>4983644.96</v>
      </c>
      <c r="L1700" s="19">
        <f t="shared" si="305"/>
        <v>0</v>
      </c>
      <c r="M1700" s="20"/>
      <c r="N1700" s="20"/>
      <c r="O1700" s="81"/>
      <c r="P1700" s="85"/>
      <c r="Q1700" s="85"/>
      <c r="R1700" s="14"/>
      <c r="S1700" s="14"/>
    </row>
    <row r="1701" spans="2:19" ht="12.75" hidden="1" customHeight="1" x14ac:dyDescent="0.25">
      <c r="B1701" s="9" t="s">
        <v>1624</v>
      </c>
      <c r="C1701" s="10"/>
      <c r="D1701" s="11">
        <v>95450000</v>
      </c>
      <c r="E1701" s="11">
        <f>+D1701</f>
        <v>95450000</v>
      </c>
      <c r="F1701" s="11"/>
      <c r="G1701" s="11"/>
      <c r="H1701" s="11"/>
      <c r="I1701" s="11"/>
      <c r="J1701" s="11"/>
      <c r="K1701" s="11"/>
      <c r="L1701" s="11">
        <f>+D1701</f>
        <v>95450000</v>
      </c>
      <c r="M1701" s="12"/>
      <c r="N1701" s="12"/>
      <c r="P1701" s="55"/>
      <c r="Q1701" s="55"/>
      <c r="R1701" s="14"/>
      <c r="S1701" s="14"/>
    </row>
    <row r="1702" spans="2:19" ht="12.75" hidden="1" customHeight="1" x14ac:dyDescent="0.25">
      <c r="B1702" s="16">
        <v>43517.125</v>
      </c>
      <c r="C1702" s="50" t="s">
        <v>1625</v>
      </c>
      <c r="D1702" s="34"/>
      <c r="E1702" s="37">
        <v>6363333</v>
      </c>
      <c r="F1702" s="37"/>
      <c r="G1702" s="37">
        <f t="shared" ref="G1702:G1713" si="306">+E1702</f>
        <v>6363333</v>
      </c>
      <c r="H1702" s="64">
        <v>152399.1</v>
      </c>
      <c r="I1702" s="64">
        <v>588207.29</v>
      </c>
      <c r="J1702" s="64">
        <v>51655.29</v>
      </c>
      <c r="K1702" s="18">
        <f t="shared" ref="K1702:K1713" si="307">+G1702-H1702-I1702-J1702</f>
        <v>5571071.3200000003</v>
      </c>
      <c r="L1702" s="19">
        <f t="shared" ref="L1702:L1713" si="308">+L1701-G1702</f>
        <v>89086667</v>
      </c>
      <c r="M1702" s="20"/>
      <c r="N1702" s="20"/>
      <c r="O1702" s="81">
        <f>+L1713-'[1]ANEXO 7 - PPTO VIG 2019'!T10</f>
        <v>0</v>
      </c>
      <c r="P1702" s="55"/>
      <c r="Q1702" s="55"/>
      <c r="R1702" s="14"/>
      <c r="S1702" s="14"/>
    </row>
    <row r="1703" spans="2:19" ht="12.75" hidden="1" customHeight="1" x14ac:dyDescent="0.25">
      <c r="B1703" s="16">
        <v>43546.083333333336</v>
      </c>
      <c r="C1703" s="50" t="s">
        <v>1626</v>
      </c>
      <c r="D1703" s="34"/>
      <c r="E1703" s="37">
        <v>8300000</v>
      </c>
      <c r="F1703" s="37"/>
      <c r="G1703" s="37">
        <f t="shared" si="306"/>
        <v>8300000</v>
      </c>
      <c r="H1703" s="64">
        <v>198781.5</v>
      </c>
      <c r="I1703" s="64">
        <v>767226.9</v>
      </c>
      <c r="J1703" s="64">
        <v>67376.47</v>
      </c>
      <c r="K1703" s="18">
        <f t="shared" si="307"/>
        <v>7266615.1299999999</v>
      </c>
      <c r="L1703" s="19">
        <f t="shared" si="308"/>
        <v>80786667</v>
      </c>
      <c r="M1703" s="20"/>
      <c r="N1703" s="20"/>
      <c r="O1703" s="81"/>
      <c r="P1703" s="55"/>
      <c r="Q1703" s="55"/>
      <c r="R1703" s="14"/>
      <c r="S1703" s="14"/>
    </row>
    <row r="1704" spans="2:19" ht="12.75" hidden="1" customHeight="1" x14ac:dyDescent="0.25">
      <c r="B1704" s="16">
        <v>43563.083333333336</v>
      </c>
      <c r="C1704" s="50" t="s">
        <v>1627</v>
      </c>
      <c r="D1704" s="34"/>
      <c r="E1704" s="37">
        <v>8300000</v>
      </c>
      <c r="F1704" s="37"/>
      <c r="G1704" s="37">
        <f t="shared" si="306"/>
        <v>8300000</v>
      </c>
      <c r="H1704" s="64">
        <v>198781.5</v>
      </c>
      <c r="I1704" s="64">
        <v>767226.9</v>
      </c>
      <c r="J1704" s="64">
        <v>67376.47</v>
      </c>
      <c r="K1704" s="18">
        <f t="shared" si="307"/>
        <v>7266615.1299999999</v>
      </c>
      <c r="L1704" s="19">
        <f t="shared" si="308"/>
        <v>72486667</v>
      </c>
      <c r="M1704" s="20"/>
      <c r="N1704" s="20"/>
      <c r="O1704" s="81"/>
      <c r="P1704" s="55"/>
      <c r="Q1704" s="55"/>
      <c r="R1704" s="14"/>
      <c r="S1704" s="14"/>
    </row>
    <row r="1705" spans="2:19" ht="12.75" hidden="1" customHeight="1" x14ac:dyDescent="0.25">
      <c r="B1705" s="16">
        <v>43593.083333333336</v>
      </c>
      <c r="C1705" s="50" t="s">
        <v>1628</v>
      </c>
      <c r="D1705" s="34"/>
      <c r="E1705" s="37">
        <v>8300000</v>
      </c>
      <c r="F1705" s="37"/>
      <c r="G1705" s="37">
        <f t="shared" si="306"/>
        <v>8300000</v>
      </c>
      <c r="H1705" s="64">
        <v>198781.5</v>
      </c>
      <c r="I1705" s="64">
        <v>767226.9</v>
      </c>
      <c r="J1705" s="64">
        <v>67376.47</v>
      </c>
      <c r="K1705" s="18">
        <f t="shared" si="307"/>
        <v>7266615.1299999999</v>
      </c>
      <c r="L1705" s="19">
        <f t="shared" si="308"/>
        <v>64186667</v>
      </c>
      <c r="M1705" s="20"/>
      <c r="N1705" s="20"/>
      <c r="O1705" s="81"/>
      <c r="P1705" s="55"/>
      <c r="Q1705" s="55"/>
      <c r="R1705" s="14"/>
      <c r="S1705" s="14"/>
    </row>
    <row r="1706" spans="2:19" ht="12.75" hidden="1" customHeight="1" x14ac:dyDescent="0.25">
      <c r="B1706" s="16">
        <v>43628.083333333336</v>
      </c>
      <c r="C1706" s="50" t="s">
        <v>1629</v>
      </c>
      <c r="D1706" s="34"/>
      <c r="E1706" s="37">
        <v>8300000</v>
      </c>
      <c r="F1706" s="37"/>
      <c r="G1706" s="37">
        <f t="shared" si="306"/>
        <v>8300000</v>
      </c>
      <c r="H1706" s="64">
        <v>198781.5</v>
      </c>
      <c r="I1706" s="64">
        <v>767226.9</v>
      </c>
      <c r="J1706" s="64">
        <v>67376.47</v>
      </c>
      <c r="K1706" s="18">
        <f t="shared" si="307"/>
        <v>7266615.1299999999</v>
      </c>
      <c r="L1706" s="19">
        <f t="shared" si="308"/>
        <v>55886667</v>
      </c>
      <c r="M1706" s="20"/>
      <c r="N1706" s="20"/>
      <c r="O1706" s="81"/>
      <c r="P1706" s="55"/>
      <c r="Q1706" s="55"/>
      <c r="R1706" s="14"/>
      <c r="S1706" s="14"/>
    </row>
    <row r="1707" spans="2:19" ht="12.75" hidden="1" customHeight="1" x14ac:dyDescent="0.25">
      <c r="B1707" s="16">
        <v>43662.083333333336</v>
      </c>
      <c r="C1707" s="50" t="s">
        <v>1630</v>
      </c>
      <c r="D1707" s="34"/>
      <c r="E1707" s="37">
        <v>8300000</v>
      </c>
      <c r="F1707" s="37"/>
      <c r="G1707" s="37">
        <f t="shared" si="306"/>
        <v>8300000</v>
      </c>
      <c r="H1707" s="64">
        <v>198781.5</v>
      </c>
      <c r="I1707" s="64">
        <v>767226.9</v>
      </c>
      <c r="J1707" s="64">
        <v>67376.47</v>
      </c>
      <c r="K1707" s="18">
        <f t="shared" si="307"/>
        <v>7266615.1299999999</v>
      </c>
      <c r="L1707" s="19">
        <f t="shared" si="308"/>
        <v>47586667</v>
      </c>
      <c r="M1707" s="20"/>
      <c r="N1707" s="20"/>
      <c r="O1707" s="81"/>
      <c r="P1707" s="55"/>
      <c r="Q1707" s="55"/>
      <c r="R1707" s="14"/>
      <c r="S1707" s="14"/>
    </row>
    <row r="1708" spans="2:19" ht="12.75" hidden="1" customHeight="1" x14ac:dyDescent="0.25">
      <c r="B1708" s="16">
        <v>43692.083333333336</v>
      </c>
      <c r="C1708" s="50" t="s">
        <v>1631</v>
      </c>
      <c r="D1708" s="34"/>
      <c r="E1708" s="37">
        <v>8300000</v>
      </c>
      <c r="F1708" s="37"/>
      <c r="G1708" s="37">
        <f t="shared" si="306"/>
        <v>8300000</v>
      </c>
      <c r="H1708" s="64">
        <v>198781.5</v>
      </c>
      <c r="I1708" s="64">
        <v>767226.9</v>
      </c>
      <c r="J1708" s="64">
        <v>67376.47</v>
      </c>
      <c r="K1708" s="18">
        <f t="shared" si="307"/>
        <v>7266615.1299999999</v>
      </c>
      <c r="L1708" s="19">
        <f t="shared" si="308"/>
        <v>39286667</v>
      </c>
      <c r="M1708" s="20"/>
      <c r="N1708" s="20"/>
      <c r="O1708" s="81"/>
      <c r="P1708" s="85"/>
      <c r="Q1708" s="85"/>
      <c r="R1708" s="14"/>
      <c r="S1708" s="14"/>
    </row>
    <row r="1709" spans="2:19" ht="12.75" hidden="1" customHeight="1" x14ac:dyDescent="0.25">
      <c r="B1709" s="16">
        <v>43706.083333333336</v>
      </c>
      <c r="C1709" s="50" t="s">
        <v>1632</v>
      </c>
      <c r="D1709" s="34"/>
      <c r="E1709" s="37">
        <v>8300000</v>
      </c>
      <c r="F1709" s="37"/>
      <c r="G1709" s="37">
        <f t="shared" si="306"/>
        <v>8300000</v>
      </c>
      <c r="H1709" s="64">
        <v>198781.5</v>
      </c>
      <c r="I1709" s="64">
        <v>767226.9</v>
      </c>
      <c r="J1709" s="64">
        <v>67376.47</v>
      </c>
      <c r="K1709" s="18">
        <f t="shared" si="307"/>
        <v>7266615.1299999999</v>
      </c>
      <c r="L1709" s="19">
        <f t="shared" si="308"/>
        <v>30986667</v>
      </c>
      <c r="M1709" s="20"/>
      <c r="N1709" s="20"/>
      <c r="O1709" s="81"/>
      <c r="P1709" s="85"/>
      <c r="Q1709" s="85"/>
      <c r="R1709" s="14"/>
      <c r="S1709" s="14"/>
    </row>
    <row r="1710" spans="2:19" ht="12.75" hidden="1" customHeight="1" x14ac:dyDescent="0.25">
      <c r="B1710" s="16">
        <v>43746.083333333336</v>
      </c>
      <c r="C1710" s="50" t="s">
        <v>1633</v>
      </c>
      <c r="D1710" s="34"/>
      <c r="E1710" s="37">
        <v>8300000</v>
      </c>
      <c r="F1710" s="37"/>
      <c r="G1710" s="37">
        <f t="shared" si="306"/>
        <v>8300000</v>
      </c>
      <c r="H1710" s="64">
        <v>198781.5</v>
      </c>
      <c r="I1710" s="64">
        <v>767226.9</v>
      </c>
      <c r="J1710" s="64">
        <v>67376.47</v>
      </c>
      <c r="K1710" s="18">
        <f t="shared" si="307"/>
        <v>7266615.1299999999</v>
      </c>
      <c r="L1710" s="19">
        <f t="shared" si="308"/>
        <v>22686667</v>
      </c>
      <c r="M1710" s="20"/>
      <c r="N1710" s="20"/>
      <c r="O1710" s="81"/>
      <c r="P1710" s="85"/>
      <c r="Q1710" s="85"/>
      <c r="R1710" s="14"/>
      <c r="S1710" s="14"/>
    </row>
    <row r="1711" spans="2:19" ht="12.75" hidden="1" customHeight="1" x14ac:dyDescent="0.25">
      <c r="B1711" s="16">
        <v>43770.083333333336</v>
      </c>
      <c r="C1711" s="50" t="s">
        <v>1634</v>
      </c>
      <c r="D1711" s="34"/>
      <c r="E1711" s="37">
        <v>8300000</v>
      </c>
      <c r="F1711" s="37"/>
      <c r="G1711" s="37">
        <f t="shared" si="306"/>
        <v>8300000</v>
      </c>
      <c r="H1711" s="64">
        <v>198781.5</v>
      </c>
      <c r="I1711" s="64">
        <v>767226.9</v>
      </c>
      <c r="J1711" s="64">
        <v>67376.47</v>
      </c>
      <c r="K1711" s="18">
        <f t="shared" si="307"/>
        <v>7266615.1299999999</v>
      </c>
      <c r="L1711" s="19">
        <f t="shared" si="308"/>
        <v>14386667</v>
      </c>
      <c r="M1711" s="20"/>
      <c r="N1711" s="20"/>
      <c r="O1711" s="81"/>
      <c r="P1711" s="85"/>
      <c r="Q1711" s="85"/>
      <c r="R1711" s="14"/>
      <c r="S1711" s="14"/>
    </row>
    <row r="1712" spans="2:19" ht="12.75" hidden="1" customHeight="1" x14ac:dyDescent="0.25">
      <c r="B1712" s="16">
        <v>43803.125</v>
      </c>
      <c r="C1712" s="50" t="s">
        <v>1635</v>
      </c>
      <c r="D1712" s="34"/>
      <c r="E1712" s="37">
        <v>8300000</v>
      </c>
      <c r="F1712" s="37"/>
      <c r="G1712" s="37">
        <f t="shared" si="306"/>
        <v>8300000</v>
      </c>
      <c r="H1712" s="64">
        <v>198781.5</v>
      </c>
      <c r="I1712" s="64">
        <v>767226.9</v>
      </c>
      <c r="J1712" s="64">
        <v>67376.47</v>
      </c>
      <c r="K1712" s="18">
        <f t="shared" si="307"/>
        <v>7266615.1299999999</v>
      </c>
      <c r="L1712" s="19">
        <f t="shared" si="308"/>
        <v>6086667</v>
      </c>
      <c r="M1712" s="20"/>
      <c r="N1712" s="20"/>
      <c r="O1712" s="81"/>
      <c r="P1712" s="85"/>
      <c r="Q1712" s="85"/>
      <c r="R1712" s="14"/>
      <c r="S1712" s="14"/>
    </row>
    <row r="1713" spans="2:19" ht="12.75" hidden="1" customHeight="1" x14ac:dyDescent="0.25">
      <c r="B1713" s="16">
        <v>43847.125</v>
      </c>
      <c r="C1713" s="50" t="s">
        <v>1636</v>
      </c>
      <c r="D1713" s="34"/>
      <c r="E1713" s="37">
        <v>6086667</v>
      </c>
      <c r="F1713" s="37"/>
      <c r="G1713" s="37">
        <f t="shared" si="306"/>
        <v>6086667</v>
      </c>
      <c r="H1713" s="64">
        <v>145773.15</v>
      </c>
      <c r="I1713" s="64">
        <v>562633.06000000006</v>
      </c>
      <c r="J1713" s="64"/>
      <c r="K1713" s="18">
        <f t="shared" si="307"/>
        <v>5378260.7899999991</v>
      </c>
      <c r="L1713" s="19">
        <f t="shared" si="308"/>
        <v>0</v>
      </c>
      <c r="M1713" s="20"/>
      <c r="N1713" s="20"/>
      <c r="O1713" s="81"/>
      <c r="P1713" s="85"/>
      <c r="Q1713" s="85"/>
      <c r="R1713" s="14"/>
      <c r="S1713" s="14"/>
    </row>
    <row r="1714" spans="2:19" ht="12" hidden="1" customHeight="1" x14ac:dyDescent="0.25">
      <c r="B1714" s="9" t="s">
        <v>1637</v>
      </c>
      <c r="C1714" s="10"/>
      <c r="D1714" s="11">
        <v>57500000</v>
      </c>
      <c r="E1714" s="11">
        <f>+D1714</f>
        <v>57500000</v>
      </c>
      <c r="F1714" s="11"/>
      <c r="G1714" s="11"/>
      <c r="H1714" s="11"/>
      <c r="I1714" s="11"/>
      <c r="J1714" s="11"/>
      <c r="K1714" s="11"/>
      <c r="L1714" s="11">
        <f>+D1714</f>
        <v>57500000</v>
      </c>
      <c r="M1714" s="12"/>
      <c r="N1714" s="12"/>
      <c r="P1714" s="55"/>
      <c r="Q1714" s="55"/>
      <c r="R1714" s="14"/>
      <c r="S1714" s="14"/>
    </row>
    <row r="1715" spans="2:19" ht="12.75" hidden="1" customHeight="1" x14ac:dyDescent="0.25">
      <c r="B1715" s="16">
        <v>43517.125</v>
      </c>
      <c r="C1715" s="50" t="s">
        <v>1638</v>
      </c>
      <c r="D1715" s="34"/>
      <c r="E1715" s="37">
        <v>500000</v>
      </c>
      <c r="F1715" s="37"/>
      <c r="G1715" s="37">
        <f t="shared" ref="G1715:G1722" si="309">+E1715</f>
        <v>500000</v>
      </c>
      <c r="H1715" s="64"/>
      <c r="I1715" s="64"/>
      <c r="J1715" s="64">
        <v>4279.38</v>
      </c>
      <c r="K1715" s="18">
        <f t="shared" ref="K1715:K1722" si="310">+G1715-H1715-I1715-J1715</f>
        <v>495720.62</v>
      </c>
      <c r="L1715" s="19">
        <f t="shared" ref="L1715:L1722" si="311">+L1714-G1715</f>
        <v>57000000</v>
      </c>
      <c r="M1715" s="20"/>
      <c r="N1715" s="20"/>
      <c r="O1715" s="81">
        <f>+L1723-'[1]ANEXO 7 - PPTO VIG 2019'!T14</f>
        <v>0</v>
      </c>
      <c r="P1715" s="55"/>
      <c r="Q1715" s="55"/>
      <c r="R1715" s="14"/>
      <c r="S1715" s="14"/>
    </row>
    <row r="1716" spans="2:19" ht="12.75" hidden="1" customHeight="1" x14ac:dyDescent="0.25">
      <c r="B1716" s="16">
        <v>43546.083333333336</v>
      </c>
      <c r="C1716" s="50" t="s">
        <v>1639</v>
      </c>
      <c r="D1716" s="34"/>
      <c r="E1716" s="37">
        <v>5000000</v>
      </c>
      <c r="F1716" s="37"/>
      <c r="G1716" s="37">
        <f t="shared" si="309"/>
        <v>5000000</v>
      </c>
      <c r="H1716" s="64"/>
      <c r="I1716" s="64">
        <v>63295.66</v>
      </c>
      <c r="J1716" s="64">
        <v>42793.8</v>
      </c>
      <c r="K1716" s="18">
        <f t="shared" si="310"/>
        <v>4893910.54</v>
      </c>
      <c r="L1716" s="19">
        <f t="shared" si="311"/>
        <v>52000000</v>
      </c>
      <c r="M1716" s="20"/>
      <c r="N1716" s="20"/>
      <c r="O1716" s="81"/>
      <c r="P1716" s="55"/>
      <c r="Q1716" s="55"/>
      <c r="R1716" s="14"/>
      <c r="S1716" s="14"/>
    </row>
    <row r="1717" spans="2:19" ht="12.75" hidden="1" customHeight="1" x14ac:dyDescent="0.25">
      <c r="B1717" s="16">
        <v>43560.083333333336</v>
      </c>
      <c r="C1717" s="50" t="s">
        <v>1640</v>
      </c>
      <c r="D1717" s="34"/>
      <c r="E1717" s="37">
        <v>5000000</v>
      </c>
      <c r="F1717" s="37"/>
      <c r="G1717" s="37">
        <f t="shared" si="309"/>
        <v>5000000</v>
      </c>
      <c r="H1717" s="64"/>
      <c r="I1717" s="64">
        <v>63295.66</v>
      </c>
      <c r="J1717" s="64">
        <v>42793.8</v>
      </c>
      <c r="K1717" s="18">
        <f t="shared" si="310"/>
        <v>4893910.54</v>
      </c>
      <c r="L1717" s="19">
        <f t="shared" si="311"/>
        <v>47000000</v>
      </c>
      <c r="M1717" s="20"/>
      <c r="N1717" s="20"/>
      <c r="O1717" s="81"/>
      <c r="P1717" s="55"/>
      <c r="Q1717" s="55"/>
      <c r="R1717" s="14"/>
      <c r="S1717" s="14"/>
    </row>
    <row r="1718" spans="2:19" ht="12.75" hidden="1" customHeight="1" x14ac:dyDescent="0.25">
      <c r="B1718" s="16">
        <v>43593.083333333336</v>
      </c>
      <c r="C1718" s="50" t="s">
        <v>1641</v>
      </c>
      <c r="D1718" s="34"/>
      <c r="E1718" s="37">
        <v>5000000</v>
      </c>
      <c r="F1718" s="37"/>
      <c r="G1718" s="37">
        <f t="shared" si="309"/>
        <v>5000000</v>
      </c>
      <c r="H1718" s="64"/>
      <c r="I1718" s="64">
        <v>63295.66</v>
      </c>
      <c r="J1718" s="64">
        <v>42793.8</v>
      </c>
      <c r="K1718" s="18">
        <f t="shared" si="310"/>
        <v>4893910.54</v>
      </c>
      <c r="L1718" s="19">
        <f t="shared" si="311"/>
        <v>42000000</v>
      </c>
      <c r="M1718" s="20"/>
      <c r="N1718" s="20"/>
      <c r="O1718" s="81"/>
      <c r="P1718" s="55"/>
      <c r="Q1718" s="55"/>
      <c r="R1718" s="14"/>
      <c r="S1718" s="14"/>
    </row>
    <row r="1719" spans="2:19" ht="12.75" hidden="1" customHeight="1" x14ac:dyDescent="0.25">
      <c r="B1719" s="16">
        <v>43622.083333333336</v>
      </c>
      <c r="C1719" s="50" t="s">
        <v>1642</v>
      </c>
      <c r="D1719" s="34"/>
      <c r="E1719" s="37">
        <v>5000000</v>
      </c>
      <c r="F1719" s="37"/>
      <c r="G1719" s="37">
        <f t="shared" si="309"/>
        <v>5000000</v>
      </c>
      <c r="H1719" s="64"/>
      <c r="I1719" s="64">
        <v>63295.66</v>
      </c>
      <c r="J1719" s="64">
        <v>42793.8</v>
      </c>
      <c r="K1719" s="18">
        <f t="shared" si="310"/>
        <v>4893910.54</v>
      </c>
      <c r="L1719" s="19">
        <f t="shared" si="311"/>
        <v>37000000</v>
      </c>
      <c r="M1719" s="20"/>
      <c r="N1719" s="20"/>
      <c r="O1719" s="81"/>
      <c r="P1719" s="55"/>
      <c r="Q1719" s="55"/>
      <c r="R1719" s="14"/>
      <c r="S1719" s="14"/>
    </row>
    <row r="1720" spans="2:19" ht="12.75" hidden="1" customHeight="1" x14ac:dyDescent="0.25">
      <c r="B1720" s="16">
        <v>43655.083333333336</v>
      </c>
      <c r="C1720" s="50" t="s">
        <v>1643</v>
      </c>
      <c r="D1720" s="34"/>
      <c r="E1720" s="37">
        <v>5000000</v>
      </c>
      <c r="F1720" s="37"/>
      <c r="G1720" s="37">
        <f t="shared" si="309"/>
        <v>5000000</v>
      </c>
      <c r="H1720" s="64"/>
      <c r="I1720" s="64">
        <v>63295.66</v>
      </c>
      <c r="J1720" s="64">
        <v>42793.8</v>
      </c>
      <c r="K1720" s="18">
        <f t="shared" si="310"/>
        <v>4893910.54</v>
      </c>
      <c r="L1720" s="19">
        <f t="shared" si="311"/>
        <v>32000000</v>
      </c>
      <c r="M1720" s="20"/>
      <c r="N1720" s="20"/>
      <c r="O1720" s="81"/>
      <c r="P1720" s="55"/>
      <c r="Q1720" s="55"/>
      <c r="R1720" s="14"/>
      <c r="S1720" s="14"/>
    </row>
    <row r="1721" spans="2:19" ht="12.75" hidden="1" customHeight="1" x14ac:dyDescent="0.25">
      <c r="B1721" s="16">
        <v>43689.083333333336</v>
      </c>
      <c r="C1721" s="50" t="s">
        <v>1644</v>
      </c>
      <c r="D1721" s="34"/>
      <c r="E1721" s="37">
        <v>5000000</v>
      </c>
      <c r="F1721" s="37"/>
      <c r="G1721" s="37">
        <f t="shared" si="309"/>
        <v>5000000</v>
      </c>
      <c r="H1721" s="64"/>
      <c r="I1721" s="64">
        <v>63295.66</v>
      </c>
      <c r="J1721" s="64">
        <v>42793.8</v>
      </c>
      <c r="K1721" s="18">
        <f t="shared" si="310"/>
        <v>4893910.54</v>
      </c>
      <c r="L1721" s="19">
        <f t="shared" si="311"/>
        <v>27000000</v>
      </c>
      <c r="M1721" s="20"/>
      <c r="N1721" s="20"/>
      <c r="O1721" s="81"/>
      <c r="P1721" s="85"/>
      <c r="Q1721" s="85"/>
      <c r="R1721" s="14"/>
      <c r="S1721" s="14"/>
    </row>
    <row r="1722" spans="2:19" ht="12.75" hidden="1" customHeight="1" x14ac:dyDescent="0.25">
      <c r="B1722" s="16">
        <v>43707.083333333336</v>
      </c>
      <c r="C1722" s="50" t="s">
        <v>1645</v>
      </c>
      <c r="D1722" s="34"/>
      <c r="E1722" s="37">
        <v>5000000</v>
      </c>
      <c r="F1722" s="37"/>
      <c r="G1722" s="37">
        <f t="shared" si="309"/>
        <v>5000000</v>
      </c>
      <c r="H1722" s="64"/>
      <c r="I1722" s="64">
        <v>63295.66</v>
      </c>
      <c r="J1722" s="64">
        <v>42793.8</v>
      </c>
      <c r="K1722" s="18">
        <f t="shared" si="310"/>
        <v>4893910.54</v>
      </c>
      <c r="L1722" s="19">
        <f t="shared" si="311"/>
        <v>22000000</v>
      </c>
      <c r="M1722" s="20"/>
      <c r="N1722" s="20"/>
      <c r="O1722" s="81"/>
      <c r="P1722" s="85"/>
      <c r="Q1722" s="85"/>
      <c r="R1722" s="14"/>
      <c r="S1722" s="14"/>
    </row>
    <row r="1723" spans="2:19" ht="12.75" hidden="1" customHeight="1" x14ac:dyDescent="0.25">
      <c r="B1723" s="16"/>
      <c r="C1723" s="50" t="s">
        <v>654</v>
      </c>
      <c r="D1723" s="34"/>
      <c r="E1723" s="37">
        <v>22000000</v>
      </c>
      <c r="F1723" s="37"/>
      <c r="G1723" s="37"/>
      <c r="H1723" s="64"/>
      <c r="I1723" s="64"/>
      <c r="J1723" s="64"/>
      <c r="K1723" s="18"/>
      <c r="L1723" s="19">
        <f>+L1722-E1723</f>
        <v>0</v>
      </c>
      <c r="M1723" s="20"/>
      <c r="N1723" s="20"/>
      <c r="O1723" s="81"/>
      <c r="P1723" s="85"/>
      <c r="Q1723" s="85"/>
      <c r="R1723" s="14"/>
      <c r="S1723" s="14"/>
    </row>
    <row r="1724" spans="2:19" ht="15" hidden="1" x14ac:dyDescent="0.25">
      <c r="B1724" s="9" t="s">
        <v>1646</v>
      </c>
      <c r="C1724" s="10"/>
      <c r="D1724" s="11">
        <v>85000000</v>
      </c>
      <c r="E1724" s="11">
        <f>+D1724</f>
        <v>85000000</v>
      </c>
      <c r="F1724" s="11"/>
      <c r="G1724" s="11"/>
      <c r="H1724" s="11"/>
      <c r="I1724" s="11"/>
      <c r="J1724" s="11"/>
      <c r="K1724" s="11"/>
      <c r="L1724" s="11">
        <f>+D1724</f>
        <v>85000000</v>
      </c>
      <c r="M1724" s="12"/>
      <c r="N1724" s="12"/>
      <c r="P1724" s="55"/>
      <c r="Q1724" s="55"/>
      <c r="R1724" s="14"/>
      <c r="S1724" s="14"/>
    </row>
    <row r="1725" spans="2:19" ht="12.75" hidden="1" customHeight="1" x14ac:dyDescent="0.25">
      <c r="B1725" s="16">
        <v>43528.125</v>
      </c>
      <c r="C1725" s="50" t="s">
        <v>1647</v>
      </c>
      <c r="D1725" s="34"/>
      <c r="E1725" s="37">
        <v>1166667</v>
      </c>
      <c r="F1725" s="37"/>
      <c r="G1725" s="37">
        <f t="shared" ref="G1725:G1742" si="312">+E1725</f>
        <v>1166667</v>
      </c>
      <c r="H1725" s="64"/>
      <c r="I1725" s="64"/>
      <c r="J1725" s="64">
        <v>9985.2199999999993</v>
      </c>
      <c r="K1725" s="18">
        <f t="shared" ref="K1725:K1742" si="313">+G1725-H1725-I1725-J1725</f>
        <v>1156681.78</v>
      </c>
      <c r="L1725" s="19">
        <f t="shared" ref="L1725:L1742" si="314">+L1724-G1725</f>
        <v>83833333</v>
      </c>
      <c r="M1725" s="20"/>
      <c r="N1725" s="20"/>
      <c r="O1725" s="81">
        <f>+L1743-'[1]ANEXO 7 - PPTO VIG 2019'!T73</f>
        <v>0</v>
      </c>
      <c r="P1725" s="55"/>
      <c r="Q1725" s="55"/>
      <c r="R1725" s="14"/>
      <c r="S1725" s="14"/>
    </row>
    <row r="1726" spans="2:19" ht="12.75" hidden="1" customHeight="1" x14ac:dyDescent="0.25">
      <c r="B1726" s="16">
        <v>43546.083333333336</v>
      </c>
      <c r="C1726" s="50" t="s">
        <v>1648</v>
      </c>
      <c r="D1726" s="34"/>
      <c r="E1726" s="37">
        <v>5000000</v>
      </c>
      <c r="F1726" s="37"/>
      <c r="G1726" s="37">
        <f t="shared" si="312"/>
        <v>5000000</v>
      </c>
      <c r="H1726" s="64"/>
      <c r="I1726" s="64">
        <v>63295.66</v>
      </c>
      <c r="J1726" s="64">
        <v>42793.8</v>
      </c>
      <c r="K1726" s="18">
        <f t="shared" si="313"/>
        <v>4893910.54</v>
      </c>
      <c r="L1726" s="19">
        <f t="shared" si="314"/>
        <v>78833333</v>
      </c>
      <c r="M1726" s="20"/>
      <c r="N1726" s="20"/>
      <c r="O1726" s="81"/>
      <c r="P1726" s="55"/>
      <c r="Q1726" s="55"/>
      <c r="R1726" s="14"/>
      <c r="S1726" s="14"/>
    </row>
    <row r="1727" spans="2:19" ht="12.75" hidden="1" customHeight="1" x14ac:dyDescent="0.25">
      <c r="B1727" s="16">
        <v>43565.083333333336</v>
      </c>
      <c r="C1727" s="50" t="s">
        <v>1649</v>
      </c>
      <c r="D1727" s="34"/>
      <c r="E1727" s="37">
        <v>5000000</v>
      </c>
      <c r="F1727" s="37"/>
      <c r="G1727" s="37">
        <f t="shared" si="312"/>
        <v>5000000</v>
      </c>
      <c r="H1727" s="64"/>
      <c r="I1727" s="64">
        <v>63295.66</v>
      </c>
      <c r="J1727" s="64">
        <v>42793.8</v>
      </c>
      <c r="K1727" s="18">
        <f t="shared" si="313"/>
        <v>4893910.54</v>
      </c>
      <c r="L1727" s="19">
        <f t="shared" si="314"/>
        <v>73833333</v>
      </c>
      <c r="M1727" s="20"/>
      <c r="N1727" s="20"/>
      <c r="O1727" s="81"/>
      <c r="P1727" s="55"/>
      <c r="Q1727" s="55"/>
      <c r="R1727" s="14"/>
      <c r="S1727" s="14"/>
    </row>
    <row r="1728" spans="2:19" ht="12.75" hidden="1" customHeight="1" x14ac:dyDescent="0.25">
      <c r="B1728" s="16">
        <v>43605.083333333336</v>
      </c>
      <c r="C1728" s="50" t="s">
        <v>1650</v>
      </c>
      <c r="D1728" s="34"/>
      <c r="E1728" s="37">
        <v>5000000</v>
      </c>
      <c r="F1728" s="37"/>
      <c r="G1728" s="37">
        <f t="shared" si="312"/>
        <v>5000000</v>
      </c>
      <c r="H1728" s="64"/>
      <c r="I1728" s="64">
        <v>63295.66</v>
      </c>
      <c r="J1728" s="64">
        <v>42793.8</v>
      </c>
      <c r="K1728" s="18">
        <f t="shared" si="313"/>
        <v>4893910.54</v>
      </c>
      <c r="L1728" s="19">
        <f t="shared" si="314"/>
        <v>68833333</v>
      </c>
      <c r="M1728" s="20"/>
      <c r="N1728" s="20"/>
      <c r="O1728" s="81"/>
      <c r="P1728" s="55"/>
      <c r="Q1728" s="55"/>
      <c r="R1728" s="14"/>
      <c r="S1728" s="14"/>
    </row>
    <row r="1729" spans="2:19" ht="12.75" hidden="1" customHeight="1" x14ac:dyDescent="0.25">
      <c r="B1729" s="16">
        <v>43637.083333333336</v>
      </c>
      <c r="C1729" s="50" t="s">
        <v>1651</v>
      </c>
      <c r="D1729" s="34"/>
      <c r="E1729" s="37">
        <v>5000000</v>
      </c>
      <c r="F1729" s="37"/>
      <c r="G1729" s="37">
        <f t="shared" si="312"/>
        <v>5000000</v>
      </c>
      <c r="H1729" s="64"/>
      <c r="I1729" s="64">
        <v>60445.63</v>
      </c>
      <c r="J1729" s="64">
        <v>42793.8</v>
      </c>
      <c r="K1729" s="18">
        <f t="shared" si="313"/>
        <v>4896760.57</v>
      </c>
      <c r="L1729" s="19">
        <f t="shared" si="314"/>
        <v>63833333</v>
      </c>
      <c r="M1729" s="20"/>
      <c r="N1729" s="20"/>
      <c r="O1729" s="81"/>
      <c r="P1729" s="55"/>
      <c r="Q1729" s="55"/>
      <c r="R1729" s="14"/>
      <c r="S1729" s="14"/>
    </row>
    <row r="1730" spans="2:19" ht="12.75" hidden="1" customHeight="1" x14ac:dyDescent="0.25">
      <c r="B1730" s="16">
        <v>43642.083333333336</v>
      </c>
      <c r="C1730" s="50" t="s">
        <v>1652</v>
      </c>
      <c r="D1730" s="34"/>
      <c r="E1730" s="37">
        <v>1051885</v>
      </c>
      <c r="F1730" s="37"/>
      <c r="G1730" s="37">
        <f t="shared" si="312"/>
        <v>1051885</v>
      </c>
      <c r="H1730" s="64"/>
      <c r="I1730" s="64">
        <v>149893.62</v>
      </c>
      <c r="J1730" s="64">
        <v>10161.209999999999</v>
      </c>
      <c r="K1730" s="18">
        <f t="shared" si="313"/>
        <v>891830.17</v>
      </c>
      <c r="L1730" s="19">
        <f t="shared" si="314"/>
        <v>62781448</v>
      </c>
      <c r="M1730" s="20"/>
      <c r="N1730" s="20"/>
      <c r="O1730" s="81"/>
      <c r="P1730" s="55"/>
      <c r="Q1730" s="55"/>
      <c r="R1730" s="14"/>
      <c r="S1730" s="14"/>
    </row>
    <row r="1731" spans="2:19" ht="12.75" hidden="1" customHeight="1" x14ac:dyDescent="0.25">
      <c r="B1731" s="16">
        <v>43661.083333333336</v>
      </c>
      <c r="C1731" s="50" t="s">
        <v>1653</v>
      </c>
      <c r="D1731" s="34"/>
      <c r="E1731" s="37">
        <v>5000000</v>
      </c>
      <c r="F1731" s="37"/>
      <c r="G1731" s="37">
        <f t="shared" si="312"/>
        <v>5000000</v>
      </c>
      <c r="H1731" s="64"/>
      <c r="I1731" s="64">
        <v>60445.63</v>
      </c>
      <c r="J1731" s="64">
        <v>42793.8</v>
      </c>
      <c r="K1731" s="18">
        <f t="shared" si="313"/>
        <v>4896760.57</v>
      </c>
      <c r="L1731" s="19">
        <f t="shared" si="314"/>
        <v>57781448</v>
      </c>
      <c r="M1731" s="20"/>
      <c r="N1731" s="20"/>
      <c r="O1731" s="81"/>
      <c r="P1731" s="55"/>
      <c r="Q1731" s="55"/>
      <c r="R1731" s="14"/>
      <c r="S1731" s="14"/>
    </row>
    <row r="1732" spans="2:19" ht="12.75" hidden="1" customHeight="1" x14ac:dyDescent="0.25">
      <c r="B1732" s="16">
        <v>43678.083333333336</v>
      </c>
      <c r="C1732" s="50" t="s">
        <v>1654</v>
      </c>
      <c r="D1732" s="34"/>
      <c r="E1732" s="37">
        <v>1441745</v>
      </c>
      <c r="F1732" s="37"/>
      <c r="G1732" s="37">
        <f t="shared" si="312"/>
        <v>1441745</v>
      </c>
      <c r="H1732" s="64"/>
      <c r="I1732" s="64">
        <v>205448.68</v>
      </c>
      <c r="J1732" s="64">
        <v>13927.26</v>
      </c>
      <c r="K1732" s="18">
        <f t="shared" si="313"/>
        <v>1222369.06</v>
      </c>
      <c r="L1732" s="19">
        <f t="shared" si="314"/>
        <v>56339703</v>
      </c>
      <c r="M1732" s="20"/>
      <c r="N1732" s="20"/>
      <c r="O1732" s="81"/>
      <c r="P1732" s="85"/>
      <c r="Q1732" s="85"/>
      <c r="R1732" s="14"/>
      <c r="S1732" s="14"/>
    </row>
    <row r="1733" spans="2:19" ht="12.75" hidden="1" customHeight="1" x14ac:dyDescent="0.25">
      <c r="B1733" s="16">
        <v>43699.083333333336</v>
      </c>
      <c r="C1733" s="50" t="s">
        <v>1655</v>
      </c>
      <c r="D1733" s="34"/>
      <c r="E1733" s="37">
        <v>5000000</v>
      </c>
      <c r="F1733" s="37"/>
      <c r="G1733" s="37">
        <f t="shared" si="312"/>
        <v>5000000</v>
      </c>
      <c r="H1733" s="64"/>
      <c r="I1733" s="64">
        <v>59405.4</v>
      </c>
      <c r="J1733" s="64">
        <v>42793.8</v>
      </c>
      <c r="K1733" s="18">
        <f t="shared" si="313"/>
        <v>4897800.8</v>
      </c>
      <c r="L1733" s="19">
        <f t="shared" si="314"/>
        <v>51339703</v>
      </c>
      <c r="M1733" s="20"/>
      <c r="N1733" s="20"/>
      <c r="O1733" s="81"/>
      <c r="P1733" s="85"/>
      <c r="Q1733" s="85"/>
      <c r="R1733" s="14"/>
      <c r="S1733" s="14"/>
    </row>
    <row r="1734" spans="2:19" ht="12.75" hidden="1" customHeight="1" x14ac:dyDescent="0.25">
      <c r="B1734" s="16">
        <v>43703.083333333336</v>
      </c>
      <c r="C1734" s="50" t="s">
        <v>1656</v>
      </c>
      <c r="D1734" s="34"/>
      <c r="E1734" s="37">
        <v>1163545</v>
      </c>
      <c r="F1734" s="37"/>
      <c r="G1734" s="37">
        <f t="shared" si="312"/>
        <v>1163545</v>
      </c>
      <c r="H1734" s="64"/>
      <c r="I1734" s="64">
        <v>96353.5</v>
      </c>
      <c r="J1734" s="64">
        <v>6531.75</v>
      </c>
      <c r="K1734" s="18">
        <f t="shared" si="313"/>
        <v>1060659.75</v>
      </c>
      <c r="L1734" s="19">
        <f t="shared" si="314"/>
        <v>50176158</v>
      </c>
      <c r="M1734" s="20"/>
      <c r="N1734" s="20"/>
      <c r="O1734" s="81"/>
      <c r="P1734" s="85"/>
      <c r="Q1734" s="85"/>
      <c r="R1734" s="14"/>
      <c r="S1734" s="14"/>
    </row>
    <row r="1735" spans="2:19" ht="12.75" hidden="1" customHeight="1" x14ac:dyDescent="0.25">
      <c r="B1735" s="16">
        <v>43738.083333333336</v>
      </c>
      <c r="C1735" s="50" t="s">
        <v>1657</v>
      </c>
      <c r="D1735" s="34"/>
      <c r="E1735" s="37">
        <v>5000000</v>
      </c>
      <c r="F1735" s="37"/>
      <c r="G1735" s="37">
        <f t="shared" si="312"/>
        <v>5000000</v>
      </c>
      <c r="H1735" s="64"/>
      <c r="I1735" s="64">
        <v>60445.63</v>
      </c>
      <c r="J1735" s="64">
        <v>42793.8</v>
      </c>
      <c r="K1735" s="18">
        <f t="shared" si="313"/>
        <v>4896760.57</v>
      </c>
      <c r="L1735" s="19">
        <f t="shared" si="314"/>
        <v>45176158</v>
      </c>
      <c r="M1735" s="20"/>
      <c r="N1735" s="20"/>
      <c r="O1735" s="81"/>
      <c r="P1735" s="85"/>
      <c r="Q1735" s="85"/>
      <c r="R1735" s="14"/>
      <c r="S1735" s="14"/>
    </row>
    <row r="1736" spans="2:19" ht="12.75" hidden="1" customHeight="1" x14ac:dyDescent="0.25">
      <c r="B1736" s="89">
        <v>43739.083333333336</v>
      </c>
      <c r="C1736" s="90" t="s">
        <v>1658</v>
      </c>
      <c r="D1736" s="34"/>
      <c r="E1736" s="37">
        <v>4273035</v>
      </c>
      <c r="F1736" s="37"/>
      <c r="G1736" s="37">
        <f t="shared" si="312"/>
        <v>4273035</v>
      </c>
      <c r="H1736" s="64"/>
      <c r="I1736" s="64">
        <v>244600.55</v>
      </c>
      <c r="J1736" s="64">
        <v>16581.34</v>
      </c>
      <c r="K1736" s="18">
        <f t="shared" si="313"/>
        <v>4011853.1100000003</v>
      </c>
      <c r="L1736" s="19">
        <f t="shared" si="314"/>
        <v>40903123</v>
      </c>
      <c r="M1736" s="20"/>
      <c r="N1736" s="20"/>
      <c r="O1736" s="81"/>
      <c r="P1736" s="85"/>
      <c r="Q1736" s="85"/>
      <c r="R1736" s="14"/>
      <c r="S1736" s="14"/>
    </row>
    <row r="1737" spans="2:19" ht="12.75" hidden="1" customHeight="1" x14ac:dyDescent="0.25">
      <c r="B1737" s="89">
        <v>43754.083333333336</v>
      </c>
      <c r="C1737" s="50" t="s">
        <v>1659</v>
      </c>
      <c r="D1737" s="34"/>
      <c r="E1737" s="37">
        <v>5000000</v>
      </c>
      <c r="F1737" s="37"/>
      <c r="G1737" s="37">
        <f t="shared" si="312"/>
        <v>5000000</v>
      </c>
      <c r="H1737" s="64"/>
      <c r="I1737" s="64">
        <v>60445.63</v>
      </c>
      <c r="J1737" s="64">
        <v>42793.8</v>
      </c>
      <c r="K1737" s="18">
        <f t="shared" si="313"/>
        <v>4896760.57</v>
      </c>
      <c r="L1737" s="19">
        <f t="shared" si="314"/>
        <v>35903123</v>
      </c>
      <c r="M1737" s="20"/>
      <c r="N1737" s="20"/>
      <c r="O1737" s="81"/>
      <c r="P1737" s="85"/>
      <c r="Q1737" s="85"/>
      <c r="R1737" s="14"/>
      <c r="S1737" s="14"/>
    </row>
    <row r="1738" spans="2:19" ht="12.75" hidden="1" customHeight="1" x14ac:dyDescent="0.25">
      <c r="B1738" s="89">
        <v>43754.083333333336</v>
      </c>
      <c r="C1738" s="90" t="s">
        <v>1660</v>
      </c>
      <c r="D1738" s="34"/>
      <c r="E1738" s="37">
        <v>4395811</v>
      </c>
      <c r="F1738" s="37"/>
      <c r="G1738" s="37">
        <f t="shared" si="312"/>
        <v>4395811</v>
      </c>
      <c r="H1738" s="64"/>
      <c r="I1738" s="64">
        <v>211987.16</v>
      </c>
      <c r="J1738" s="64">
        <v>14370.5</v>
      </c>
      <c r="K1738" s="18">
        <f t="shared" si="313"/>
        <v>4169453.34</v>
      </c>
      <c r="L1738" s="19">
        <f t="shared" si="314"/>
        <v>31507312</v>
      </c>
      <c r="M1738" s="20"/>
      <c r="N1738" s="20"/>
      <c r="O1738" s="81"/>
      <c r="P1738" s="85"/>
      <c r="Q1738" s="85"/>
      <c r="R1738" s="14"/>
      <c r="S1738" s="14"/>
    </row>
    <row r="1739" spans="2:19" ht="12.75" hidden="1" customHeight="1" x14ac:dyDescent="0.25">
      <c r="B1739" s="89">
        <v>43770.083333333336</v>
      </c>
      <c r="C1739" s="90" t="s">
        <v>1661</v>
      </c>
      <c r="D1739" s="34"/>
      <c r="E1739" s="37">
        <v>5000000</v>
      </c>
      <c r="F1739" s="37"/>
      <c r="G1739" s="37">
        <f t="shared" si="312"/>
        <v>5000000</v>
      </c>
      <c r="H1739" s="64"/>
      <c r="I1739" s="64">
        <v>63295.66</v>
      </c>
      <c r="J1739" s="64">
        <v>42793.8</v>
      </c>
      <c r="K1739" s="18">
        <f t="shared" si="313"/>
        <v>4893910.54</v>
      </c>
      <c r="L1739" s="19">
        <f t="shared" si="314"/>
        <v>26507312</v>
      </c>
      <c r="M1739" s="20"/>
      <c r="N1739" s="20"/>
      <c r="O1739" s="81"/>
      <c r="P1739" s="85"/>
      <c r="Q1739" s="85"/>
      <c r="R1739" s="14"/>
      <c r="S1739" s="14"/>
    </row>
    <row r="1740" spans="2:19" ht="12.75" hidden="1" customHeight="1" x14ac:dyDescent="0.25">
      <c r="B1740" s="89">
        <v>43790.125</v>
      </c>
      <c r="C1740" s="90" t="s">
        <v>1662</v>
      </c>
      <c r="D1740" s="34"/>
      <c r="E1740" s="37">
        <v>2947195</v>
      </c>
      <c r="F1740" s="37"/>
      <c r="G1740" s="37">
        <f t="shared" si="312"/>
        <v>2947195</v>
      </c>
      <c r="H1740" s="64"/>
      <c r="I1740" s="64">
        <v>261415.54</v>
      </c>
      <c r="J1740" s="64">
        <v>17721.22</v>
      </c>
      <c r="K1740" s="18">
        <f t="shared" si="313"/>
        <v>2668058.2399999998</v>
      </c>
      <c r="L1740" s="19">
        <f t="shared" si="314"/>
        <v>23560117</v>
      </c>
      <c r="M1740" s="20"/>
      <c r="N1740" s="20"/>
      <c r="O1740" s="81"/>
      <c r="P1740" s="85"/>
      <c r="Q1740" s="85"/>
      <c r="R1740" s="14"/>
      <c r="S1740" s="14"/>
    </row>
    <row r="1741" spans="2:19" ht="12.75" hidden="1" customHeight="1" x14ac:dyDescent="0.25">
      <c r="B1741" s="89">
        <v>43804.125</v>
      </c>
      <c r="C1741" s="90" t="s">
        <v>1663</v>
      </c>
      <c r="D1741" s="34"/>
      <c r="E1741" s="37">
        <v>5000000</v>
      </c>
      <c r="F1741" s="37"/>
      <c r="G1741" s="37">
        <f t="shared" si="312"/>
        <v>5000000</v>
      </c>
      <c r="H1741" s="64"/>
      <c r="I1741" s="64">
        <v>63295.66</v>
      </c>
      <c r="J1741" s="64">
        <v>42793.8</v>
      </c>
      <c r="K1741" s="18">
        <f t="shared" si="313"/>
        <v>4893910.54</v>
      </c>
      <c r="L1741" s="19">
        <f t="shared" si="314"/>
        <v>18560117</v>
      </c>
      <c r="M1741" s="20"/>
      <c r="N1741" s="20"/>
      <c r="O1741" s="81"/>
      <c r="P1741" s="85"/>
      <c r="Q1741" s="85"/>
      <c r="R1741" s="14"/>
      <c r="S1741" s="14"/>
    </row>
    <row r="1742" spans="2:19" ht="12.75" hidden="1" customHeight="1" x14ac:dyDescent="0.25">
      <c r="B1742" s="89">
        <v>43825.125</v>
      </c>
      <c r="C1742" s="90" t="s">
        <v>1664</v>
      </c>
      <c r="D1742" s="34"/>
      <c r="E1742" s="37">
        <v>3833333</v>
      </c>
      <c r="F1742" s="37"/>
      <c r="G1742" s="37">
        <f t="shared" si="312"/>
        <v>3833333</v>
      </c>
      <c r="H1742" s="64"/>
      <c r="I1742" s="64"/>
      <c r="J1742" s="64">
        <v>32808.58</v>
      </c>
      <c r="K1742" s="18">
        <f t="shared" si="313"/>
        <v>3800524.42</v>
      </c>
      <c r="L1742" s="19">
        <f t="shared" si="314"/>
        <v>14726784</v>
      </c>
      <c r="M1742" s="20"/>
      <c r="N1742" s="20"/>
      <c r="O1742" s="81"/>
      <c r="P1742" s="85"/>
      <c r="Q1742" s="85"/>
      <c r="R1742" s="14"/>
      <c r="S1742" s="14"/>
    </row>
    <row r="1743" spans="2:19" ht="12.75" hidden="1" customHeight="1" x14ac:dyDescent="0.25">
      <c r="B1743" s="89"/>
      <c r="C1743" s="90" t="s">
        <v>654</v>
      </c>
      <c r="D1743" s="34"/>
      <c r="E1743" s="37">
        <v>14726784</v>
      </c>
      <c r="F1743" s="37"/>
      <c r="G1743" s="37"/>
      <c r="H1743" s="64"/>
      <c r="I1743" s="64"/>
      <c r="J1743" s="64"/>
      <c r="K1743" s="18"/>
      <c r="L1743" s="19">
        <f>+L1742-E1743</f>
        <v>0</v>
      </c>
      <c r="M1743" s="20"/>
      <c r="N1743" s="20"/>
      <c r="O1743" s="81"/>
      <c r="P1743" s="85"/>
      <c r="Q1743" s="85"/>
      <c r="R1743" s="14"/>
      <c r="S1743" s="14"/>
    </row>
    <row r="1744" spans="2:19" ht="15" hidden="1" x14ac:dyDescent="0.25">
      <c r="B1744" s="9" t="s">
        <v>1665</v>
      </c>
      <c r="C1744" s="10"/>
      <c r="D1744" s="11">
        <v>1815592490.27</v>
      </c>
      <c r="E1744" s="11">
        <f>+D1744</f>
        <v>1815592490.27</v>
      </c>
      <c r="F1744" s="11"/>
      <c r="G1744" s="11"/>
      <c r="H1744" s="11"/>
      <c r="I1744" s="11"/>
      <c r="J1744" s="11"/>
      <c r="K1744" s="11"/>
      <c r="L1744" s="11">
        <f>+D1744</f>
        <v>1815592490.27</v>
      </c>
      <c r="M1744" s="12"/>
      <c r="N1744" s="12"/>
      <c r="P1744" s="55"/>
      <c r="Q1744" s="55"/>
      <c r="R1744" s="14"/>
      <c r="S1744" s="14"/>
    </row>
    <row r="1745" spans="2:19" ht="12.75" hidden="1" customHeight="1" x14ac:dyDescent="0.25">
      <c r="B1745" s="16">
        <v>43528.125</v>
      </c>
      <c r="C1745" s="50" t="s">
        <v>1666</v>
      </c>
      <c r="D1745" s="34"/>
      <c r="E1745" s="37">
        <v>1815592490.27</v>
      </c>
      <c r="F1745" s="37"/>
      <c r="G1745" s="37">
        <f>+E1745</f>
        <v>1815592490.27</v>
      </c>
      <c r="H1745" s="64"/>
      <c r="I1745" s="64"/>
      <c r="J1745" s="64"/>
      <c r="K1745" s="18">
        <f>+G1745-H1745-I1745-J1745</f>
        <v>1815592490.27</v>
      </c>
      <c r="L1745" s="19">
        <f>+L1744-G1745</f>
        <v>0</v>
      </c>
      <c r="M1745" s="20"/>
      <c r="N1745" s="20"/>
      <c r="O1745" s="81">
        <f>+L1745-'[1]ANEXO 7 - PPTO VIG 2019'!T70</f>
        <v>0</v>
      </c>
      <c r="P1745" s="55"/>
      <c r="Q1745" s="55"/>
      <c r="R1745" s="14"/>
      <c r="S1745" s="14"/>
    </row>
    <row r="1746" spans="2:19" ht="15" hidden="1" x14ac:dyDescent="0.25">
      <c r="B1746" s="9" t="s">
        <v>1667</v>
      </c>
      <c r="C1746" s="10"/>
      <c r="D1746" s="11">
        <v>92000000</v>
      </c>
      <c r="E1746" s="11">
        <f>+D1746</f>
        <v>92000000</v>
      </c>
      <c r="F1746" s="11"/>
      <c r="G1746" s="11"/>
      <c r="H1746" s="11"/>
      <c r="I1746" s="11"/>
      <c r="J1746" s="11"/>
      <c r="K1746" s="11"/>
      <c r="L1746" s="11">
        <f>+D1746</f>
        <v>92000000</v>
      </c>
      <c r="M1746" s="12"/>
      <c r="N1746" s="12"/>
      <c r="P1746" s="55"/>
      <c r="Q1746" s="55"/>
      <c r="R1746" s="14"/>
      <c r="S1746" s="14"/>
    </row>
    <row r="1747" spans="2:19" ht="12.75" hidden="1" customHeight="1" x14ac:dyDescent="0.25">
      <c r="B1747" s="16">
        <v>43525.125</v>
      </c>
      <c r="C1747" s="50" t="s">
        <v>1668</v>
      </c>
      <c r="D1747" s="34"/>
      <c r="E1747" s="37">
        <v>3733333</v>
      </c>
      <c r="F1747" s="37"/>
      <c r="G1747" s="37">
        <f t="shared" ref="G1747:G1758" si="315">+E1747</f>
        <v>3733333</v>
      </c>
      <c r="H1747" s="64"/>
      <c r="I1747" s="64"/>
      <c r="J1747" s="64">
        <v>31952.7</v>
      </c>
      <c r="K1747" s="18">
        <f t="shared" ref="K1747:K1758" si="316">+G1747-H1747-I1747-J1747</f>
        <v>3701380.3</v>
      </c>
      <c r="L1747" s="19">
        <f t="shared" ref="L1747:L1758" si="317">+L1746-G1747</f>
        <v>88266667</v>
      </c>
      <c r="M1747" s="20"/>
      <c r="N1747" s="20"/>
      <c r="O1747" s="81">
        <f>+L1759-'[1]ANEXO 7 - PPTO VIG 2019'!T36</f>
        <v>0</v>
      </c>
      <c r="P1747" s="55"/>
      <c r="Q1747" s="55"/>
      <c r="R1747" s="14"/>
      <c r="S1747" s="14"/>
    </row>
    <row r="1748" spans="2:19" ht="12.75" hidden="1" customHeight="1" x14ac:dyDescent="0.25">
      <c r="B1748" s="16">
        <v>43546.083333333336</v>
      </c>
      <c r="C1748" s="50" t="s">
        <v>1669</v>
      </c>
      <c r="D1748" s="34"/>
      <c r="E1748" s="37">
        <v>8000000</v>
      </c>
      <c r="F1748" s="37"/>
      <c r="G1748" s="37">
        <f t="shared" si="315"/>
        <v>8000000</v>
      </c>
      <c r="H1748" s="64"/>
      <c r="I1748" s="64">
        <v>322617.15999999997</v>
      </c>
      <c r="J1748" s="64">
        <v>68470.080000000002</v>
      </c>
      <c r="K1748" s="18">
        <f t="shared" si="316"/>
        <v>7608912.7599999998</v>
      </c>
      <c r="L1748" s="19">
        <f t="shared" si="317"/>
        <v>80266667</v>
      </c>
      <c r="M1748" s="20"/>
      <c r="N1748" s="20"/>
      <c r="O1748" s="81"/>
      <c r="P1748" s="55"/>
      <c r="Q1748" s="55"/>
      <c r="R1748" s="14"/>
      <c r="S1748" s="14"/>
    </row>
    <row r="1749" spans="2:19" ht="12.75" hidden="1" customHeight="1" x14ac:dyDescent="0.25">
      <c r="B1749" s="16">
        <v>43563.083333333336</v>
      </c>
      <c r="C1749" s="50" t="s">
        <v>1670</v>
      </c>
      <c r="D1749" s="34"/>
      <c r="E1749" s="37">
        <v>8000000</v>
      </c>
      <c r="F1749" s="37"/>
      <c r="G1749" s="37">
        <f t="shared" si="315"/>
        <v>8000000</v>
      </c>
      <c r="H1749" s="64"/>
      <c r="I1749" s="64">
        <v>322617.15999999997</v>
      </c>
      <c r="J1749" s="64">
        <v>68470.080000000002</v>
      </c>
      <c r="K1749" s="18">
        <f t="shared" si="316"/>
        <v>7608912.7599999998</v>
      </c>
      <c r="L1749" s="19">
        <f t="shared" si="317"/>
        <v>72266667</v>
      </c>
      <c r="M1749" s="20"/>
      <c r="N1749" s="20"/>
      <c r="O1749" s="81"/>
      <c r="P1749" s="55"/>
      <c r="Q1749" s="55"/>
      <c r="R1749" s="14"/>
      <c r="S1749" s="14"/>
    </row>
    <row r="1750" spans="2:19" ht="12.75" hidden="1" customHeight="1" x14ac:dyDescent="0.25">
      <c r="B1750" s="16">
        <v>43593.083333333336</v>
      </c>
      <c r="C1750" s="50" t="s">
        <v>1671</v>
      </c>
      <c r="D1750" s="34"/>
      <c r="E1750" s="37">
        <v>8000000</v>
      </c>
      <c r="F1750" s="37"/>
      <c r="G1750" s="37">
        <f t="shared" si="315"/>
        <v>8000000</v>
      </c>
      <c r="H1750" s="64"/>
      <c r="I1750" s="64">
        <v>463861</v>
      </c>
      <c r="J1750" s="64">
        <v>68470.080000000002</v>
      </c>
      <c r="K1750" s="18">
        <f t="shared" si="316"/>
        <v>7467668.9199999999</v>
      </c>
      <c r="L1750" s="19">
        <f t="shared" si="317"/>
        <v>64266667</v>
      </c>
      <c r="M1750" s="20"/>
      <c r="N1750" s="20"/>
      <c r="O1750" s="81"/>
      <c r="P1750" s="55"/>
      <c r="Q1750" s="55"/>
      <c r="R1750" s="14"/>
      <c r="S1750" s="14"/>
    </row>
    <row r="1751" spans="2:19" ht="12.75" hidden="1" customHeight="1" x14ac:dyDescent="0.25">
      <c r="B1751" s="16">
        <v>43628.083333333336</v>
      </c>
      <c r="C1751" s="50" t="s">
        <v>1672</v>
      </c>
      <c r="D1751" s="34"/>
      <c r="E1751" s="37">
        <v>8000000</v>
      </c>
      <c r="F1751" s="37"/>
      <c r="G1751" s="37">
        <f t="shared" si="315"/>
        <v>8000000</v>
      </c>
      <c r="H1751" s="64"/>
      <c r="I1751" s="64">
        <v>463861</v>
      </c>
      <c r="J1751" s="64">
        <v>68470.080000000002</v>
      </c>
      <c r="K1751" s="18">
        <f t="shared" si="316"/>
        <v>7467668.9199999999</v>
      </c>
      <c r="L1751" s="19">
        <f t="shared" si="317"/>
        <v>56266667</v>
      </c>
      <c r="M1751" s="20"/>
      <c r="N1751" s="20"/>
      <c r="O1751" s="81"/>
      <c r="P1751" s="55"/>
      <c r="Q1751" s="55"/>
      <c r="R1751" s="14"/>
      <c r="S1751" s="14"/>
    </row>
    <row r="1752" spans="2:19" ht="12.75" hidden="1" customHeight="1" x14ac:dyDescent="0.25">
      <c r="B1752" s="16">
        <v>43655.083333333336</v>
      </c>
      <c r="C1752" s="50" t="s">
        <v>1673</v>
      </c>
      <c r="D1752" s="34"/>
      <c r="E1752" s="37">
        <v>8000000</v>
      </c>
      <c r="F1752" s="37"/>
      <c r="G1752" s="37">
        <f t="shared" si="315"/>
        <v>8000000</v>
      </c>
      <c r="H1752" s="64"/>
      <c r="I1752" s="64">
        <v>463861</v>
      </c>
      <c r="J1752" s="64">
        <v>68470.080000000002</v>
      </c>
      <c r="K1752" s="18">
        <f t="shared" si="316"/>
        <v>7467668.9199999999</v>
      </c>
      <c r="L1752" s="19">
        <f t="shared" si="317"/>
        <v>48266667</v>
      </c>
      <c r="M1752" s="20"/>
      <c r="N1752" s="20"/>
      <c r="O1752" s="81"/>
      <c r="P1752" s="55"/>
      <c r="Q1752" s="55"/>
      <c r="R1752" s="14"/>
      <c r="S1752" s="14"/>
    </row>
    <row r="1753" spans="2:19" ht="12.75" hidden="1" customHeight="1" x14ac:dyDescent="0.25">
      <c r="B1753" s="16">
        <v>43686.083333333336</v>
      </c>
      <c r="C1753" s="50" t="s">
        <v>1674</v>
      </c>
      <c r="D1753" s="34"/>
      <c r="E1753" s="37">
        <v>8000000</v>
      </c>
      <c r="F1753" s="37"/>
      <c r="G1753" s="37">
        <f t="shared" si="315"/>
        <v>8000000</v>
      </c>
      <c r="H1753" s="64"/>
      <c r="I1753" s="64">
        <v>470581.01</v>
      </c>
      <c r="J1753" s="64">
        <v>68470.080000000002</v>
      </c>
      <c r="K1753" s="18">
        <f t="shared" si="316"/>
        <v>7460948.9100000001</v>
      </c>
      <c r="L1753" s="19">
        <f t="shared" si="317"/>
        <v>40266667</v>
      </c>
      <c r="M1753" s="20"/>
      <c r="N1753" s="20"/>
      <c r="O1753" s="81"/>
      <c r="P1753" s="85"/>
      <c r="Q1753" s="85"/>
      <c r="R1753" s="14"/>
      <c r="S1753" s="14"/>
    </row>
    <row r="1754" spans="2:19" ht="12.75" hidden="1" customHeight="1" x14ac:dyDescent="0.25">
      <c r="B1754" s="16">
        <v>43706.083333333336</v>
      </c>
      <c r="C1754" s="50" t="s">
        <v>1675</v>
      </c>
      <c r="D1754" s="34"/>
      <c r="E1754" s="37">
        <v>8000000</v>
      </c>
      <c r="F1754" s="37"/>
      <c r="G1754" s="37">
        <f t="shared" si="315"/>
        <v>8000000</v>
      </c>
      <c r="H1754" s="64"/>
      <c r="I1754" s="64">
        <v>463861</v>
      </c>
      <c r="J1754" s="64">
        <v>68470.080000000002</v>
      </c>
      <c r="K1754" s="18">
        <f t="shared" si="316"/>
        <v>7467668.9199999999</v>
      </c>
      <c r="L1754" s="19">
        <f t="shared" si="317"/>
        <v>32266667</v>
      </c>
      <c r="M1754" s="20"/>
      <c r="N1754" s="20"/>
      <c r="O1754" s="81"/>
      <c r="P1754" s="85"/>
      <c r="Q1754" s="85"/>
      <c r="R1754" s="14"/>
      <c r="S1754" s="14"/>
    </row>
    <row r="1755" spans="2:19" ht="12.75" hidden="1" customHeight="1" x14ac:dyDescent="0.25">
      <c r="B1755" s="16">
        <v>43742</v>
      </c>
      <c r="C1755" s="50" t="s">
        <v>1676</v>
      </c>
      <c r="D1755" s="34"/>
      <c r="E1755" s="37">
        <v>8000000</v>
      </c>
      <c r="F1755" s="37"/>
      <c r="G1755" s="37">
        <f t="shared" si="315"/>
        <v>8000000</v>
      </c>
      <c r="H1755" s="64"/>
      <c r="I1755" s="64">
        <v>463861</v>
      </c>
      <c r="J1755" s="64">
        <v>68470.080000000002</v>
      </c>
      <c r="K1755" s="18">
        <f t="shared" si="316"/>
        <v>7467668.9199999999</v>
      </c>
      <c r="L1755" s="19">
        <f t="shared" si="317"/>
        <v>24266667</v>
      </c>
      <c r="M1755" s="20"/>
      <c r="N1755" s="20"/>
      <c r="O1755" s="81"/>
      <c r="P1755" s="85"/>
      <c r="Q1755" s="85"/>
      <c r="R1755" s="14"/>
      <c r="S1755" s="14"/>
    </row>
    <row r="1756" spans="2:19" ht="12.75" hidden="1" customHeight="1" x14ac:dyDescent="0.25">
      <c r="B1756" s="16">
        <v>43776.125</v>
      </c>
      <c r="C1756" s="50" t="s">
        <v>1677</v>
      </c>
      <c r="D1756" s="34"/>
      <c r="E1756" s="37">
        <v>8000000</v>
      </c>
      <c r="F1756" s="37"/>
      <c r="G1756" s="37">
        <f t="shared" si="315"/>
        <v>8000000</v>
      </c>
      <c r="H1756" s="64"/>
      <c r="I1756" s="64">
        <v>463861</v>
      </c>
      <c r="J1756" s="64">
        <v>68470.080000000002</v>
      </c>
      <c r="K1756" s="18">
        <f t="shared" si="316"/>
        <v>7467668.9199999999</v>
      </c>
      <c r="L1756" s="19">
        <f t="shared" si="317"/>
        <v>16266667</v>
      </c>
      <c r="M1756" s="20"/>
      <c r="N1756" s="20"/>
      <c r="O1756" s="81"/>
      <c r="P1756" s="85"/>
      <c r="Q1756" s="85"/>
      <c r="R1756" s="14"/>
      <c r="S1756" s="14"/>
    </row>
    <row r="1757" spans="2:19" ht="12.75" hidden="1" customHeight="1" x14ac:dyDescent="0.25">
      <c r="B1757" s="16">
        <v>43802.125</v>
      </c>
      <c r="C1757" s="50" t="s">
        <v>1678</v>
      </c>
      <c r="D1757" s="34"/>
      <c r="E1757" s="37">
        <v>8000000</v>
      </c>
      <c r="F1757" s="37"/>
      <c r="G1757" s="37">
        <f t="shared" si="315"/>
        <v>8000000</v>
      </c>
      <c r="H1757" s="64"/>
      <c r="I1757" s="64">
        <v>319410.90000000002</v>
      </c>
      <c r="J1757" s="64">
        <v>68470.080000000002</v>
      </c>
      <c r="K1757" s="18">
        <f t="shared" si="316"/>
        <v>7612119.0199999996</v>
      </c>
      <c r="L1757" s="19">
        <f t="shared" si="317"/>
        <v>8266667</v>
      </c>
      <c r="M1757" s="20"/>
      <c r="N1757" s="20"/>
      <c r="O1757" s="81"/>
      <c r="P1757" s="85"/>
      <c r="Q1757" s="85"/>
      <c r="R1757" s="14"/>
      <c r="S1757" s="14"/>
    </row>
    <row r="1758" spans="2:19" ht="12.75" hidden="1" customHeight="1" x14ac:dyDescent="0.25">
      <c r="B1758" s="16">
        <v>43823.125</v>
      </c>
      <c r="C1758" s="50" t="s">
        <v>1679</v>
      </c>
      <c r="D1758" s="34"/>
      <c r="E1758" s="37">
        <v>8000000</v>
      </c>
      <c r="F1758" s="37"/>
      <c r="G1758" s="37">
        <f t="shared" si="315"/>
        <v>8000000</v>
      </c>
      <c r="H1758" s="64"/>
      <c r="I1758" s="64">
        <v>319410.90000000002</v>
      </c>
      <c r="J1758" s="64">
        <v>68470.080000000002</v>
      </c>
      <c r="K1758" s="18">
        <f t="shared" si="316"/>
        <v>7612119.0199999996</v>
      </c>
      <c r="L1758" s="19">
        <f t="shared" si="317"/>
        <v>266667</v>
      </c>
      <c r="M1758" s="20"/>
      <c r="N1758" s="20"/>
      <c r="O1758" s="81"/>
      <c r="P1758" s="85"/>
      <c r="Q1758" s="85"/>
      <c r="R1758" s="14"/>
      <c r="S1758" s="14"/>
    </row>
    <row r="1759" spans="2:19" ht="12.75" hidden="1" customHeight="1" x14ac:dyDescent="0.25">
      <c r="B1759" s="16"/>
      <c r="C1759" s="50" t="s">
        <v>654</v>
      </c>
      <c r="D1759" s="34"/>
      <c r="E1759" s="37">
        <v>266667</v>
      </c>
      <c r="F1759" s="37"/>
      <c r="G1759" s="37"/>
      <c r="H1759" s="64"/>
      <c r="I1759" s="64"/>
      <c r="J1759" s="64"/>
      <c r="K1759" s="18"/>
      <c r="L1759" s="19">
        <f>+L1758-E1759</f>
        <v>0</v>
      </c>
      <c r="M1759" s="20"/>
      <c r="N1759" s="20"/>
      <c r="O1759" s="81"/>
      <c r="P1759" s="85"/>
      <c r="Q1759" s="85"/>
      <c r="R1759" s="14"/>
      <c r="S1759" s="14"/>
    </row>
    <row r="1760" spans="2:19" ht="15" hidden="1" x14ac:dyDescent="0.25">
      <c r="B1760" s="9" t="s">
        <v>1680</v>
      </c>
      <c r="C1760" s="10"/>
      <c r="D1760" s="11">
        <v>98000000</v>
      </c>
      <c r="E1760" s="11">
        <f>+D1760</f>
        <v>98000000</v>
      </c>
      <c r="F1760" s="11"/>
      <c r="G1760" s="11"/>
      <c r="H1760" s="11"/>
      <c r="I1760" s="11"/>
      <c r="J1760" s="11"/>
      <c r="K1760" s="11"/>
      <c r="L1760" s="11">
        <f>+D1760</f>
        <v>98000000</v>
      </c>
      <c r="M1760" s="12"/>
      <c r="N1760" s="12"/>
      <c r="P1760" s="55"/>
      <c r="Q1760" s="55"/>
      <c r="R1760" s="14"/>
      <c r="S1760" s="14"/>
    </row>
    <row r="1761" spans="2:19" ht="12.75" hidden="1" customHeight="1" x14ac:dyDescent="0.25">
      <c r="B1761" s="16">
        <v>43546.083333333336</v>
      </c>
      <c r="C1761" s="50" t="s">
        <v>1681</v>
      </c>
      <c r="D1761" s="34"/>
      <c r="E1761" s="37">
        <v>1400000</v>
      </c>
      <c r="F1761" s="37"/>
      <c r="G1761" s="37">
        <f t="shared" ref="G1761:G1776" si="318">+E1761</f>
        <v>1400000</v>
      </c>
      <c r="H1761" s="64"/>
      <c r="I1761" s="64"/>
      <c r="J1761" s="64">
        <v>11982.26</v>
      </c>
      <c r="K1761" s="18">
        <f t="shared" ref="K1761:K1776" si="319">+G1761-H1761-I1761-J1761</f>
        <v>1388017.74</v>
      </c>
      <c r="L1761" s="19">
        <f t="shared" ref="L1761:L1776" si="320">+L1760-G1761</f>
        <v>96600000</v>
      </c>
      <c r="M1761" s="20"/>
      <c r="N1761" s="20"/>
      <c r="O1761" s="81">
        <f>+L1777-'[1]ANEXO 7 - PPTO VIG 2019'!T74</f>
        <v>0</v>
      </c>
      <c r="P1761" s="55"/>
      <c r="Q1761" s="55"/>
      <c r="R1761" s="14"/>
      <c r="S1761" s="14"/>
    </row>
    <row r="1762" spans="2:19" ht="12.75" hidden="1" customHeight="1" x14ac:dyDescent="0.25">
      <c r="B1762" s="16">
        <v>43559.083333333336</v>
      </c>
      <c r="C1762" s="50" t="s">
        <v>1682</v>
      </c>
      <c r="D1762" s="34"/>
      <c r="E1762" s="37">
        <v>6000000</v>
      </c>
      <c r="F1762" s="37"/>
      <c r="G1762" s="37">
        <f t="shared" si="318"/>
        <v>6000000</v>
      </c>
      <c r="H1762" s="64"/>
      <c r="I1762" s="64">
        <v>103751.4</v>
      </c>
      <c r="J1762" s="64">
        <v>51352.56</v>
      </c>
      <c r="K1762" s="18">
        <f t="shared" si="319"/>
        <v>5844896.04</v>
      </c>
      <c r="L1762" s="19">
        <f t="shared" si="320"/>
        <v>90600000</v>
      </c>
      <c r="M1762" s="20"/>
      <c r="N1762" s="20"/>
      <c r="O1762" s="81"/>
      <c r="P1762" s="55"/>
      <c r="Q1762" s="55"/>
      <c r="R1762" s="14"/>
      <c r="S1762" s="14"/>
    </row>
    <row r="1763" spans="2:19" ht="12.75" hidden="1" customHeight="1" x14ac:dyDescent="0.25">
      <c r="B1763" s="16">
        <v>43595.083333333336</v>
      </c>
      <c r="C1763" s="50" t="s">
        <v>1683</v>
      </c>
      <c r="D1763" s="34"/>
      <c r="E1763" s="37">
        <v>6000000</v>
      </c>
      <c r="F1763" s="37"/>
      <c r="G1763" s="37">
        <f t="shared" si="318"/>
        <v>6000000</v>
      </c>
      <c r="H1763" s="64"/>
      <c r="I1763" s="64">
        <v>103751.4</v>
      </c>
      <c r="J1763" s="64">
        <v>51352.56</v>
      </c>
      <c r="K1763" s="18">
        <f t="shared" si="319"/>
        <v>5844896.04</v>
      </c>
      <c r="L1763" s="19">
        <f t="shared" si="320"/>
        <v>84600000</v>
      </c>
      <c r="M1763" s="20"/>
      <c r="N1763" s="20"/>
      <c r="O1763" s="81"/>
      <c r="P1763" s="55"/>
      <c r="Q1763" s="55"/>
      <c r="R1763" s="14"/>
      <c r="S1763" s="14"/>
    </row>
    <row r="1764" spans="2:19" ht="12.75" hidden="1" customHeight="1" x14ac:dyDescent="0.25">
      <c r="B1764" s="16">
        <v>43627.083333333336</v>
      </c>
      <c r="C1764" s="50" t="s">
        <v>1684</v>
      </c>
      <c r="D1764" s="34"/>
      <c r="E1764" s="37">
        <v>6000000</v>
      </c>
      <c r="F1764" s="37"/>
      <c r="G1764" s="37">
        <f t="shared" si="318"/>
        <v>6000000</v>
      </c>
      <c r="H1764" s="64"/>
      <c r="I1764" s="64">
        <v>103751.4</v>
      </c>
      <c r="J1764" s="64">
        <v>51352.56</v>
      </c>
      <c r="K1764" s="18">
        <f t="shared" si="319"/>
        <v>5844896.04</v>
      </c>
      <c r="L1764" s="19">
        <f t="shared" si="320"/>
        <v>78600000</v>
      </c>
      <c r="M1764" s="20"/>
      <c r="N1764" s="20"/>
      <c r="O1764" s="81"/>
      <c r="P1764" s="55"/>
      <c r="Q1764" s="55"/>
      <c r="R1764" s="14"/>
      <c r="S1764" s="14"/>
    </row>
    <row r="1765" spans="2:19" ht="12.75" hidden="1" customHeight="1" x14ac:dyDescent="0.25">
      <c r="B1765" s="16">
        <v>43658.083333333336</v>
      </c>
      <c r="C1765" s="50" t="s">
        <v>1685</v>
      </c>
      <c r="D1765" s="34"/>
      <c r="E1765" s="37">
        <v>6000000</v>
      </c>
      <c r="F1765" s="37"/>
      <c r="G1765" s="37">
        <f t="shared" si="318"/>
        <v>6000000</v>
      </c>
      <c r="H1765" s="64"/>
      <c r="I1765" s="64">
        <v>103751.4</v>
      </c>
      <c r="J1765" s="64">
        <v>51352.56</v>
      </c>
      <c r="K1765" s="18">
        <f t="shared" si="319"/>
        <v>5844896.04</v>
      </c>
      <c r="L1765" s="19">
        <f t="shared" si="320"/>
        <v>72600000</v>
      </c>
      <c r="M1765" s="20"/>
      <c r="N1765" s="20"/>
      <c r="O1765" s="81"/>
      <c r="P1765" s="55"/>
      <c r="Q1765" s="55"/>
      <c r="R1765" s="14"/>
      <c r="S1765" s="14"/>
    </row>
    <row r="1766" spans="2:19" ht="12.75" hidden="1" customHeight="1" x14ac:dyDescent="0.25">
      <c r="B1766" s="16">
        <v>43678.083333333336</v>
      </c>
      <c r="C1766" s="50" t="s">
        <v>1686</v>
      </c>
      <c r="D1766" s="34"/>
      <c r="E1766" s="37">
        <v>3868510</v>
      </c>
      <c r="F1766" s="37"/>
      <c r="G1766" s="37">
        <f t="shared" si="318"/>
        <v>3868510</v>
      </c>
      <c r="H1766" s="64"/>
      <c r="I1766" s="64">
        <v>681957.72</v>
      </c>
      <c r="J1766" s="64">
        <v>37369.81</v>
      </c>
      <c r="K1766" s="18">
        <f t="shared" si="319"/>
        <v>3149182.47</v>
      </c>
      <c r="L1766" s="19">
        <f t="shared" si="320"/>
        <v>68731490</v>
      </c>
      <c r="M1766" s="20"/>
      <c r="N1766" s="20"/>
      <c r="O1766" s="81"/>
      <c r="P1766" s="55"/>
      <c r="Q1766" s="55"/>
      <c r="R1766" s="14"/>
      <c r="S1766" s="14"/>
    </row>
    <row r="1767" spans="2:19" ht="12.75" hidden="1" customHeight="1" x14ac:dyDescent="0.25">
      <c r="B1767" s="16">
        <v>43685.083333333336</v>
      </c>
      <c r="C1767" s="50" t="s">
        <v>1687</v>
      </c>
      <c r="D1767" s="34"/>
      <c r="E1767" s="37">
        <v>2757378</v>
      </c>
      <c r="F1767" s="37"/>
      <c r="G1767" s="37">
        <f t="shared" si="318"/>
        <v>2757378</v>
      </c>
      <c r="H1767" s="64"/>
      <c r="I1767" s="64"/>
      <c r="J1767" s="64">
        <v>12834.35</v>
      </c>
      <c r="K1767" s="18">
        <f t="shared" si="319"/>
        <v>2744543.65</v>
      </c>
      <c r="L1767" s="19">
        <f t="shared" si="320"/>
        <v>65974112</v>
      </c>
      <c r="M1767" s="20"/>
      <c r="N1767" s="20"/>
      <c r="O1767" s="81"/>
      <c r="P1767" s="85"/>
      <c r="Q1767" s="85"/>
      <c r="R1767" s="14"/>
      <c r="S1767" s="14"/>
    </row>
    <row r="1768" spans="2:19" ht="12.75" hidden="1" customHeight="1" x14ac:dyDescent="0.25">
      <c r="B1768" s="16">
        <v>43689.083333333336</v>
      </c>
      <c r="C1768" s="50" t="s">
        <v>1688</v>
      </c>
      <c r="D1768" s="34"/>
      <c r="E1768" s="37">
        <v>6000000</v>
      </c>
      <c r="F1768" s="37"/>
      <c r="G1768" s="37">
        <f t="shared" si="318"/>
        <v>6000000</v>
      </c>
      <c r="H1768" s="64"/>
      <c r="I1768" s="64">
        <v>293078.03000000003</v>
      </c>
      <c r="J1768" s="64">
        <v>51352.56</v>
      </c>
      <c r="K1768" s="18">
        <f t="shared" si="319"/>
        <v>5655569.4100000001</v>
      </c>
      <c r="L1768" s="19">
        <f t="shared" si="320"/>
        <v>59974112</v>
      </c>
      <c r="M1768" s="20"/>
      <c r="N1768" s="20"/>
      <c r="O1768" s="81"/>
      <c r="P1768" s="85"/>
      <c r="Q1768" s="85"/>
      <c r="R1768" s="14"/>
      <c r="S1768" s="14"/>
    </row>
    <row r="1769" spans="2:19" ht="12.75" hidden="1" customHeight="1" x14ac:dyDescent="0.25">
      <c r="B1769" s="16">
        <v>43707.083333333336</v>
      </c>
      <c r="C1769" s="50" t="s">
        <v>1689</v>
      </c>
      <c r="D1769" s="34"/>
      <c r="E1769" s="37">
        <v>4989560</v>
      </c>
      <c r="F1769" s="37"/>
      <c r="G1769" s="37">
        <f t="shared" si="318"/>
        <v>4989560</v>
      </c>
      <c r="H1769" s="64"/>
      <c r="I1769" s="64"/>
      <c r="J1769" s="64">
        <v>26595.91</v>
      </c>
      <c r="K1769" s="18">
        <f t="shared" si="319"/>
        <v>4962964.09</v>
      </c>
      <c r="L1769" s="19">
        <f t="shared" si="320"/>
        <v>54984552</v>
      </c>
      <c r="M1769" s="20"/>
      <c r="N1769" s="20"/>
      <c r="O1769" s="81"/>
      <c r="P1769" s="85"/>
      <c r="Q1769" s="85"/>
      <c r="R1769" s="14"/>
      <c r="S1769" s="14"/>
    </row>
    <row r="1770" spans="2:19" ht="12.75" hidden="1" customHeight="1" x14ac:dyDescent="0.25">
      <c r="B1770" s="16">
        <v>43707.083333333336</v>
      </c>
      <c r="C1770" s="50" t="s">
        <v>1690</v>
      </c>
      <c r="D1770" s="34"/>
      <c r="E1770" s="37">
        <v>6000000</v>
      </c>
      <c r="F1770" s="37"/>
      <c r="G1770" s="37">
        <f t="shared" si="318"/>
        <v>6000000</v>
      </c>
      <c r="H1770" s="64"/>
      <c r="I1770" s="64">
        <v>493676.79</v>
      </c>
      <c r="J1770" s="64">
        <v>51352.56</v>
      </c>
      <c r="K1770" s="18">
        <f t="shared" si="319"/>
        <v>5454970.6500000004</v>
      </c>
      <c r="L1770" s="19">
        <f t="shared" si="320"/>
        <v>48984552</v>
      </c>
      <c r="M1770" s="20"/>
      <c r="N1770" s="20"/>
      <c r="O1770" s="81"/>
      <c r="P1770" s="85"/>
      <c r="Q1770" s="85"/>
      <c r="R1770" s="14"/>
      <c r="S1770" s="14"/>
    </row>
    <row r="1771" spans="2:19" ht="12.75" hidden="1" customHeight="1" x14ac:dyDescent="0.25">
      <c r="B1771" s="16">
        <v>43742.083333333336</v>
      </c>
      <c r="C1771" s="50" t="s">
        <v>1691</v>
      </c>
      <c r="D1771" s="34"/>
      <c r="E1771" s="37">
        <v>3882612</v>
      </c>
      <c r="F1771" s="37"/>
      <c r="G1771" s="37">
        <f t="shared" si="318"/>
        <v>3882612</v>
      </c>
      <c r="H1771" s="64"/>
      <c r="I1771" s="64">
        <v>0</v>
      </c>
      <c r="J1771" s="64">
        <v>19884.14</v>
      </c>
      <c r="K1771" s="18">
        <f t="shared" si="319"/>
        <v>3862727.86</v>
      </c>
      <c r="L1771" s="19">
        <f t="shared" si="320"/>
        <v>45101940</v>
      </c>
      <c r="M1771" s="20"/>
      <c r="N1771" s="20"/>
      <c r="O1771" s="81"/>
      <c r="P1771" s="85"/>
      <c r="Q1771" s="85"/>
      <c r="R1771" s="14"/>
      <c r="S1771" s="14"/>
    </row>
    <row r="1772" spans="2:19" ht="12.75" hidden="1" customHeight="1" x14ac:dyDescent="0.25">
      <c r="B1772" s="16">
        <v>43754.083333333336</v>
      </c>
      <c r="C1772" s="50" t="s">
        <v>1692</v>
      </c>
      <c r="D1772" s="34"/>
      <c r="E1772" s="37">
        <v>6000000</v>
      </c>
      <c r="F1772" s="37"/>
      <c r="G1772" s="37">
        <f t="shared" si="318"/>
        <v>6000000</v>
      </c>
      <c r="H1772" s="64"/>
      <c r="I1772" s="64">
        <v>405586</v>
      </c>
      <c r="J1772" s="64">
        <v>51352.56</v>
      </c>
      <c r="K1772" s="18">
        <f t="shared" si="319"/>
        <v>5543061.4400000004</v>
      </c>
      <c r="L1772" s="19">
        <f t="shared" si="320"/>
        <v>39101940</v>
      </c>
      <c r="M1772" s="20"/>
      <c r="N1772" s="20"/>
      <c r="O1772" s="81"/>
      <c r="P1772" s="85"/>
      <c r="Q1772" s="85"/>
      <c r="R1772" s="14"/>
      <c r="S1772" s="14"/>
    </row>
    <row r="1773" spans="2:19" ht="12.75" hidden="1" customHeight="1" x14ac:dyDescent="0.25">
      <c r="B1773" s="16">
        <v>43770.083333333336</v>
      </c>
      <c r="C1773" s="50" t="s">
        <v>1693</v>
      </c>
      <c r="D1773" s="34"/>
      <c r="E1773" s="37">
        <v>3150570</v>
      </c>
      <c r="F1773" s="37"/>
      <c r="G1773" s="37">
        <f t="shared" si="318"/>
        <v>3150570</v>
      </c>
      <c r="H1773" s="64"/>
      <c r="I1773" s="64">
        <v>0</v>
      </c>
      <c r="J1773" s="64">
        <v>19855.16</v>
      </c>
      <c r="K1773" s="18">
        <f t="shared" si="319"/>
        <v>3130714.84</v>
      </c>
      <c r="L1773" s="19">
        <f t="shared" si="320"/>
        <v>35951370</v>
      </c>
      <c r="M1773" s="20"/>
      <c r="N1773" s="20"/>
      <c r="O1773" s="81"/>
      <c r="P1773" s="85"/>
      <c r="Q1773" s="85"/>
      <c r="R1773" s="14"/>
      <c r="S1773" s="14"/>
    </row>
    <row r="1774" spans="2:19" ht="12.75" hidden="1" customHeight="1" x14ac:dyDescent="0.25">
      <c r="B1774" s="16">
        <v>43782.125</v>
      </c>
      <c r="C1774" s="50" t="s">
        <v>1694</v>
      </c>
      <c r="D1774" s="34"/>
      <c r="E1774" s="37">
        <v>6000000</v>
      </c>
      <c r="F1774" s="37"/>
      <c r="G1774" s="37">
        <f t="shared" si="318"/>
        <v>6000000</v>
      </c>
      <c r="H1774" s="64"/>
      <c r="I1774" s="64">
        <v>404956.01</v>
      </c>
      <c r="J1774" s="64">
        <v>51352.56</v>
      </c>
      <c r="K1774" s="18">
        <f t="shared" si="319"/>
        <v>5543691.4300000006</v>
      </c>
      <c r="L1774" s="19">
        <f t="shared" si="320"/>
        <v>29951370</v>
      </c>
      <c r="M1774" s="20"/>
      <c r="N1774" s="20"/>
      <c r="O1774" s="81"/>
      <c r="P1774" s="85"/>
      <c r="Q1774" s="85"/>
      <c r="R1774" s="14"/>
      <c r="S1774" s="14"/>
    </row>
    <row r="1775" spans="2:19" ht="12.75" hidden="1" customHeight="1" x14ac:dyDescent="0.25">
      <c r="B1775" s="16">
        <v>43802.125</v>
      </c>
      <c r="C1775" s="50" t="s">
        <v>1695</v>
      </c>
      <c r="D1775" s="34"/>
      <c r="E1775" s="37">
        <v>6000000</v>
      </c>
      <c r="F1775" s="37"/>
      <c r="G1775" s="37">
        <f t="shared" si="318"/>
        <v>6000000</v>
      </c>
      <c r="H1775" s="64"/>
      <c r="I1775" s="64">
        <v>103751.4</v>
      </c>
      <c r="J1775" s="64">
        <v>51352.56</v>
      </c>
      <c r="K1775" s="18">
        <f t="shared" si="319"/>
        <v>5844896.04</v>
      </c>
      <c r="L1775" s="19">
        <f t="shared" si="320"/>
        <v>23951370</v>
      </c>
      <c r="M1775" s="20"/>
      <c r="N1775" s="20"/>
      <c r="O1775" s="81"/>
      <c r="P1775" s="85"/>
      <c r="Q1775" s="85"/>
      <c r="R1775" s="14"/>
      <c r="S1775" s="14"/>
    </row>
    <row r="1776" spans="2:19" ht="12.75" hidden="1" customHeight="1" x14ac:dyDescent="0.25">
      <c r="B1776" s="16">
        <v>43823.125</v>
      </c>
      <c r="C1776" s="50" t="s">
        <v>1696</v>
      </c>
      <c r="D1776" s="34"/>
      <c r="E1776" s="37">
        <v>6000000</v>
      </c>
      <c r="F1776" s="37"/>
      <c r="G1776" s="37">
        <f t="shared" si="318"/>
        <v>6000000</v>
      </c>
      <c r="H1776" s="64"/>
      <c r="I1776" s="64">
        <v>103751.4</v>
      </c>
      <c r="J1776" s="64">
        <v>51352.56</v>
      </c>
      <c r="K1776" s="18">
        <f t="shared" si="319"/>
        <v>5844896.04</v>
      </c>
      <c r="L1776" s="19">
        <f t="shared" si="320"/>
        <v>17951370</v>
      </c>
      <c r="M1776" s="20"/>
      <c r="N1776" s="20"/>
      <c r="O1776" s="81"/>
      <c r="P1776" s="85"/>
      <c r="Q1776" s="85"/>
      <c r="R1776" s="14"/>
      <c r="S1776" s="14"/>
    </row>
    <row r="1777" spans="2:19" ht="12.75" hidden="1" customHeight="1" x14ac:dyDescent="0.25">
      <c r="B1777" s="16"/>
      <c r="C1777" s="50" t="s">
        <v>654</v>
      </c>
      <c r="D1777" s="34"/>
      <c r="E1777" s="37">
        <v>17951370</v>
      </c>
      <c r="F1777" s="37"/>
      <c r="G1777" s="37"/>
      <c r="H1777" s="64"/>
      <c r="I1777" s="64"/>
      <c r="J1777" s="64"/>
      <c r="K1777" s="18"/>
      <c r="L1777" s="19">
        <f>+L1776-E1777</f>
        <v>0</v>
      </c>
      <c r="M1777" s="20"/>
      <c r="N1777" s="20"/>
      <c r="O1777" s="81"/>
      <c r="P1777" s="85"/>
      <c r="Q1777" s="85"/>
      <c r="R1777" s="14"/>
      <c r="S1777" s="14"/>
    </row>
    <row r="1778" spans="2:19" ht="15" hidden="1" x14ac:dyDescent="0.25">
      <c r="B1778" s="9" t="s">
        <v>1697</v>
      </c>
      <c r="C1778" s="10"/>
      <c r="D1778" s="11">
        <v>79000000</v>
      </c>
      <c r="E1778" s="11">
        <f>+D1778</f>
        <v>79000000</v>
      </c>
      <c r="F1778" s="11"/>
      <c r="G1778" s="11"/>
      <c r="H1778" s="11"/>
      <c r="I1778" s="11"/>
      <c r="J1778" s="11"/>
      <c r="K1778" s="11"/>
      <c r="L1778" s="11">
        <f>+D1778</f>
        <v>79000000</v>
      </c>
      <c r="M1778" s="12"/>
      <c r="N1778" s="12"/>
      <c r="P1778" s="55"/>
      <c r="Q1778" s="55"/>
      <c r="R1778" s="14"/>
      <c r="S1778" s="14"/>
    </row>
    <row r="1779" spans="2:19" ht="12.75" hidden="1" customHeight="1" x14ac:dyDescent="0.25">
      <c r="B1779" s="16">
        <v>43546.083333333336</v>
      </c>
      <c r="C1779" s="50" t="s">
        <v>1698</v>
      </c>
      <c r="D1779" s="34"/>
      <c r="E1779" s="37">
        <v>4000000</v>
      </c>
      <c r="F1779" s="37"/>
      <c r="G1779" s="37">
        <f t="shared" ref="G1779:G1787" si="321">+E1779</f>
        <v>4000000</v>
      </c>
      <c r="H1779" s="64"/>
      <c r="I1779" s="64"/>
      <c r="J1779" s="64">
        <v>34235.040000000001</v>
      </c>
      <c r="K1779" s="18">
        <f t="shared" ref="K1779:K1787" si="322">+G1779-H1779-I1779-J1779</f>
        <v>3965764.96</v>
      </c>
      <c r="L1779" s="19">
        <f t="shared" ref="L1779:L1787" si="323">+L1778-G1779</f>
        <v>75000000</v>
      </c>
      <c r="M1779" s="20"/>
      <c r="N1779" s="20"/>
      <c r="O1779" s="81">
        <f>+L1789-'[1]ANEXO 7 - PPTO VIG 2019'!T75</f>
        <v>0</v>
      </c>
      <c r="P1779" s="55"/>
      <c r="Q1779" s="55"/>
      <c r="R1779" s="14"/>
      <c r="S1779" s="14"/>
    </row>
    <row r="1780" spans="2:19" ht="12.75" hidden="1" customHeight="1" x14ac:dyDescent="0.25">
      <c r="B1780" s="16">
        <v>43584.083333333336</v>
      </c>
      <c r="C1780" s="50" t="s">
        <v>1699</v>
      </c>
      <c r="D1780" s="34"/>
      <c r="E1780" s="37">
        <v>7500000</v>
      </c>
      <c r="F1780" s="37"/>
      <c r="G1780" s="37">
        <f t="shared" si="321"/>
        <v>7500000</v>
      </c>
      <c r="H1780" s="64"/>
      <c r="I1780" s="64">
        <v>314170.77</v>
      </c>
      <c r="J1780" s="64">
        <v>64190.7</v>
      </c>
      <c r="K1780" s="18">
        <f t="shared" si="322"/>
        <v>7121638.5300000003</v>
      </c>
      <c r="L1780" s="19">
        <f t="shared" si="323"/>
        <v>67500000</v>
      </c>
      <c r="M1780" s="20"/>
      <c r="N1780" s="20"/>
      <c r="O1780" s="81"/>
      <c r="P1780" s="55"/>
      <c r="Q1780" s="55"/>
      <c r="R1780" s="14"/>
      <c r="S1780" s="14"/>
    </row>
    <row r="1781" spans="2:19" ht="12.75" hidden="1" customHeight="1" x14ac:dyDescent="0.25">
      <c r="B1781" s="16">
        <v>43634.083333333336</v>
      </c>
      <c r="C1781" s="50" t="s">
        <v>1700</v>
      </c>
      <c r="D1781" s="34"/>
      <c r="E1781" s="37">
        <v>7500000</v>
      </c>
      <c r="F1781" s="37"/>
      <c r="G1781" s="37">
        <f t="shared" si="321"/>
        <v>7500000</v>
      </c>
      <c r="H1781" s="64"/>
      <c r="I1781" s="64">
        <v>314170.77</v>
      </c>
      <c r="J1781" s="64">
        <v>64190.7</v>
      </c>
      <c r="K1781" s="18">
        <f t="shared" si="322"/>
        <v>7121638.5300000003</v>
      </c>
      <c r="L1781" s="19">
        <f t="shared" si="323"/>
        <v>60000000</v>
      </c>
      <c r="M1781" s="20"/>
      <c r="N1781" s="20"/>
      <c r="O1781" s="81"/>
      <c r="P1781" s="55"/>
      <c r="Q1781" s="55"/>
      <c r="R1781" s="14"/>
      <c r="S1781" s="14"/>
    </row>
    <row r="1782" spans="2:19" ht="12.75" hidden="1" customHeight="1" x14ac:dyDescent="0.25">
      <c r="B1782" s="16">
        <v>43644.083333333336</v>
      </c>
      <c r="C1782" s="50" t="s">
        <v>1701</v>
      </c>
      <c r="D1782" s="34"/>
      <c r="E1782" s="37">
        <v>7500000</v>
      </c>
      <c r="F1782" s="37"/>
      <c r="G1782" s="37">
        <f t="shared" si="321"/>
        <v>7500000</v>
      </c>
      <c r="H1782" s="64"/>
      <c r="I1782" s="64">
        <v>314170.77</v>
      </c>
      <c r="J1782" s="64">
        <v>64190.7</v>
      </c>
      <c r="K1782" s="18">
        <f t="shared" si="322"/>
        <v>7121638.5300000003</v>
      </c>
      <c r="L1782" s="19">
        <f t="shared" si="323"/>
        <v>52500000</v>
      </c>
      <c r="M1782" s="20"/>
      <c r="N1782" s="20"/>
      <c r="O1782" s="81"/>
      <c r="P1782" s="55"/>
      <c r="Q1782" s="55"/>
      <c r="R1782" s="14"/>
      <c r="S1782" s="14"/>
    </row>
    <row r="1783" spans="2:19" ht="12.75" hidden="1" customHeight="1" x14ac:dyDescent="0.25">
      <c r="B1783" s="16">
        <v>43742.083333333336</v>
      </c>
      <c r="C1783" s="50" t="s">
        <v>1702</v>
      </c>
      <c r="D1783" s="34"/>
      <c r="E1783" s="37">
        <v>7500000</v>
      </c>
      <c r="F1783" s="37"/>
      <c r="G1783" s="37">
        <f t="shared" si="321"/>
        <v>7500000</v>
      </c>
      <c r="H1783" s="64"/>
      <c r="I1783" s="64">
        <v>314170.77</v>
      </c>
      <c r="J1783" s="64">
        <v>64190.7</v>
      </c>
      <c r="K1783" s="18">
        <f t="shared" si="322"/>
        <v>7121638.5300000003</v>
      </c>
      <c r="L1783" s="19">
        <f t="shared" si="323"/>
        <v>45000000</v>
      </c>
      <c r="M1783" s="20"/>
      <c r="N1783" s="20"/>
      <c r="O1783" s="81"/>
      <c r="P1783" s="55"/>
      <c r="Q1783" s="55"/>
      <c r="R1783" s="14"/>
      <c r="S1783" s="14"/>
    </row>
    <row r="1784" spans="2:19" ht="12.75" hidden="1" customHeight="1" x14ac:dyDescent="0.25">
      <c r="B1784" s="16">
        <v>43796.125</v>
      </c>
      <c r="C1784" s="50" t="s">
        <v>1703</v>
      </c>
      <c r="D1784" s="34"/>
      <c r="E1784" s="37">
        <v>7500000</v>
      </c>
      <c r="F1784" s="37"/>
      <c r="G1784" s="37">
        <f t="shared" si="321"/>
        <v>7500000</v>
      </c>
      <c r="H1784" s="64"/>
      <c r="I1784" s="64">
        <v>314170.77</v>
      </c>
      <c r="J1784" s="64">
        <v>64190.7</v>
      </c>
      <c r="K1784" s="18">
        <f t="shared" si="322"/>
        <v>7121638.5300000003</v>
      </c>
      <c r="L1784" s="19">
        <f t="shared" si="323"/>
        <v>37500000</v>
      </c>
      <c r="M1784" s="20"/>
      <c r="N1784" s="20"/>
      <c r="O1784" s="81"/>
      <c r="P1784" s="55"/>
      <c r="Q1784" s="55"/>
      <c r="R1784" s="14"/>
      <c r="S1784" s="14"/>
    </row>
    <row r="1785" spans="2:19" ht="12.75" hidden="1" customHeight="1" x14ac:dyDescent="0.25">
      <c r="B1785" s="16">
        <v>43805.125</v>
      </c>
      <c r="C1785" s="50" t="s">
        <v>1704</v>
      </c>
      <c r="D1785" s="34"/>
      <c r="E1785" s="37">
        <v>7500000</v>
      </c>
      <c r="F1785" s="37"/>
      <c r="G1785" s="37">
        <f t="shared" si="321"/>
        <v>7500000</v>
      </c>
      <c r="H1785" s="64"/>
      <c r="I1785" s="64">
        <v>314170.77</v>
      </c>
      <c r="J1785" s="64">
        <v>64190.7</v>
      </c>
      <c r="K1785" s="18">
        <f t="shared" si="322"/>
        <v>7121638.5300000003</v>
      </c>
      <c r="L1785" s="19">
        <f t="shared" si="323"/>
        <v>30000000</v>
      </c>
      <c r="M1785" s="20"/>
      <c r="N1785" s="20"/>
      <c r="O1785" s="81"/>
      <c r="P1785" s="55"/>
      <c r="Q1785" s="55"/>
      <c r="R1785" s="14"/>
      <c r="S1785" s="14"/>
    </row>
    <row r="1786" spans="2:19" ht="12.75" hidden="1" customHeight="1" x14ac:dyDescent="0.25">
      <c r="B1786" s="16">
        <v>43825.125</v>
      </c>
      <c r="C1786" s="50" t="s">
        <v>1705</v>
      </c>
      <c r="D1786" s="34"/>
      <c r="E1786" s="37">
        <v>7500000</v>
      </c>
      <c r="F1786" s="37"/>
      <c r="G1786" s="37">
        <f t="shared" si="321"/>
        <v>7500000</v>
      </c>
      <c r="H1786" s="64"/>
      <c r="I1786" s="64">
        <v>314170.77</v>
      </c>
      <c r="J1786" s="64">
        <v>64190.7</v>
      </c>
      <c r="K1786" s="18">
        <f t="shared" si="322"/>
        <v>7121638.5300000003</v>
      </c>
      <c r="L1786" s="19">
        <f t="shared" si="323"/>
        <v>22500000</v>
      </c>
      <c r="M1786" s="20"/>
      <c r="N1786" s="20"/>
      <c r="O1786" s="81"/>
      <c r="P1786" s="55"/>
      <c r="Q1786" s="55"/>
      <c r="R1786" s="14"/>
      <c r="S1786" s="14"/>
    </row>
    <row r="1787" spans="2:19" ht="12.75" hidden="1" customHeight="1" x14ac:dyDescent="0.25">
      <c r="B1787" s="16">
        <v>43825.125</v>
      </c>
      <c r="C1787" s="50" t="s">
        <v>1706</v>
      </c>
      <c r="D1787" s="34"/>
      <c r="E1787" s="37">
        <v>7500000</v>
      </c>
      <c r="F1787" s="37"/>
      <c r="G1787" s="37">
        <f t="shared" si="321"/>
        <v>7500000</v>
      </c>
      <c r="H1787" s="64"/>
      <c r="I1787" s="64">
        <v>314170.77</v>
      </c>
      <c r="J1787" s="64">
        <v>64190.7</v>
      </c>
      <c r="K1787" s="18">
        <f t="shared" si="322"/>
        <v>7121638.5300000003</v>
      </c>
      <c r="L1787" s="19">
        <f t="shared" si="323"/>
        <v>15000000</v>
      </c>
      <c r="M1787" s="20"/>
      <c r="N1787" s="20"/>
      <c r="O1787" s="81"/>
      <c r="P1787" s="55"/>
      <c r="Q1787" s="55"/>
      <c r="R1787" s="14"/>
      <c r="S1787" s="14"/>
    </row>
    <row r="1788" spans="2:19" ht="12.75" hidden="1" customHeight="1" x14ac:dyDescent="0.25">
      <c r="B1788" s="16">
        <v>43844.125</v>
      </c>
      <c r="C1788" s="50" t="s">
        <v>1707</v>
      </c>
      <c r="D1788" s="34"/>
      <c r="E1788" s="37">
        <v>7500000</v>
      </c>
      <c r="F1788" s="37"/>
      <c r="G1788" s="37">
        <f>+E1788</f>
        <v>7500000</v>
      </c>
      <c r="H1788" s="64"/>
      <c r="I1788" s="64">
        <v>237947.55</v>
      </c>
      <c r="J1788" s="64">
        <v>64190.7</v>
      </c>
      <c r="K1788" s="18">
        <f>+G1788-H1788-I1788-J1788</f>
        <v>7197861.75</v>
      </c>
      <c r="L1788" s="19">
        <f>+L1787-G1788</f>
        <v>7500000</v>
      </c>
      <c r="M1788" s="20"/>
      <c r="N1788" s="20"/>
      <c r="O1788" s="81"/>
      <c r="P1788" s="55"/>
      <c r="Q1788" s="55"/>
      <c r="R1788" s="14"/>
      <c r="S1788" s="14"/>
    </row>
    <row r="1789" spans="2:19" ht="12.75" hidden="1" customHeight="1" x14ac:dyDescent="0.25">
      <c r="B1789" s="16">
        <v>43861.125</v>
      </c>
      <c r="C1789" s="50" t="s">
        <v>1708</v>
      </c>
      <c r="D1789" s="34"/>
      <c r="E1789" s="37">
        <v>7500000</v>
      </c>
      <c r="F1789" s="37"/>
      <c r="G1789" s="37">
        <f>+E1789</f>
        <v>7500000</v>
      </c>
      <c r="H1789" s="64"/>
      <c r="I1789" s="64">
        <v>237947.55</v>
      </c>
      <c r="J1789" s="64">
        <v>64190.7</v>
      </c>
      <c r="K1789" s="18">
        <f>+G1789-H1789-I1789-J1789</f>
        <v>7197861.75</v>
      </c>
      <c r="L1789" s="19">
        <f>+L1788-G1789</f>
        <v>0</v>
      </c>
      <c r="M1789" s="20"/>
      <c r="N1789" s="20"/>
      <c r="O1789" s="81"/>
      <c r="P1789" s="55"/>
      <c r="Q1789" s="55"/>
      <c r="R1789" s="14"/>
      <c r="S1789" s="14"/>
    </row>
    <row r="1790" spans="2:19" ht="15" hidden="1" x14ac:dyDescent="0.25">
      <c r="B1790" s="9" t="s">
        <v>1709</v>
      </c>
      <c r="C1790" s="10"/>
      <c r="D1790" s="11">
        <v>63440000</v>
      </c>
      <c r="E1790" s="11">
        <f>+D1790</f>
        <v>63440000</v>
      </c>
      <c r="F1790" s="11"/>
      <c r="G1790" s="11"/>
      <c r="H1790" s="11"/>
      <c r="I1790" s="11"/>
      <c r="J1790" s="11"/>
      <c r="K1790" s="11"/>
      <c r="L1790" s="11">
        <f>+D1790</f>
        <v>63440000</v>
      </c>
      <c r="M1790" s="12"/>
      <c r="N1790" s="12"/>
      <c r="P1790" s="55"/>
      <c r="Q1790" s="55"/>
      <c r="R1790" s="14"/>
      <c r="S1790" s="14"/>
    </row>
    <row r="1791" spans="2:19" ht="12.75" hidden="1" customHeight="1" x14ac:dyDescent="0.25">
      <c r="B1791" s="16">
        <v>43559.083333333336</v>
      </c>
      <c r="C1791" s="50" t="s">
        <v>1710</v>
      </c>
      <c r="D1791" s="34"/>
      <c r="E1791" s="37">
        <v>6240000</v>
      </c>
      <c r="F1791" s="37"/>
      <c r="G1791" s="37">
        <f t="shared" ref="G1791:G1800" si="324">+E1791</f>
        <v>6240000</v>
      </c>
      <c r="H1791" s="64"/>
      <c r="I1791" s="64">
        <v>219481.36</v>
      </c>
      <c r="J1791" s="64">
        <v>53406.66</v>
      </c>
      <c r="K1791" s="18">
        <f t="shared" ref="K1791:K1800" si="325">+G1791-H1791-I1791-J1791</f>
        <v>5967111.9799999995</v>
      </c>
      <c r="L1791" s="19">
        <f t="shared" ref="L1791:L1800" si="326">+L1790-G1791</f>
        <v>57200000</v>
      </c>
      <c r="M1791" s="20"/>
      <c r="N1791" s="20"/>
      <c r="O1791" s="81">
        <f>+L1801-'[1]ANEXO 7 - PPTO VIG 2019'!T62</f>
        <v>0</v>
      </c>
      <c r="P1791" s="55"/>
      <c r="Q1791" s="55"/>
      <c r="R1791" s="14"/>
      <c r="S1791" s="14"/>
    </row>
    <row r="1792" spans="2:19" ht="12.75" hidden="1" customHeight="1" x14ac:dyDescent="0.25">
      <c r="B1792" s="16">
        <v>43601.083333333336</v>
      </c>
      <c r="C1792" s="50" t="s">
        <v>1711</v>
      </c>
      <c r="D1792" s="34"/>
      <c r="E1792" s="37">
        <v>6240000</v>
      </c>
      <c r="F1792" s="37"/>
      <c r="G1792" s="37">
        <f t="shared" si="324"/>
        <v>6240000</v>
      </c>
      <c r="H1792" s="64"/>
      <c r="I1792" s="64">
        <v>219481.36</v>
      </c>
      <c r="J1792" s="64">
        <v>53406.66</v>
      </c>
      <c r="K1792" s="18">
        <f t="shared" si="325"/>
        <v>5967111.9799999995</v>
      </c>
      <c r="L1792" s="19">
        <f t="shared" si="326"/>
        <v>50960000</v>
      </c>
      <c r="M1792" s="20"/>
      <c r="N1792" s="20"/>
      <c r="O1792" s="81"/>
      <c r="P1792" s="55"/>
      <c r="Q1792" s="55"/>
      <c r="R1792" s="14"/>
      <c r="S1792" s="14"/>
    </row>
    <row r="1793" spans="2:19" ht="12.75" hidden="1" customHeight="1" x14ac:dyDescent="0.25">
      <c r="B1793" s="16">
        <v>43622.083333333336</v>
      </c>
      <c r="C1793" s="50" t="s">
        <v>1712</v>
      </c>
      <c r="D1793" s="34"/>
      <c r="E1793" s="37">
        <v>6240000</v>
      </c>
      <c r="F1793" s="37"/>
      <c r="G1793" s="37">
        <f t="shared" si="324"/>
        <v>6240000</v>
      </c>
      <c r="H1793" s="64"/>
      <c r="I1793" s="64">
        <v>219481.36</v>
      </c>
      <c r="J1793" s="64">
        <v>53406.66</v>
      </c>
      <c r="K1793" s="18">
        <f t="shared" si="325"/>
        <v>5967111.9799999995</v>
      </c>
      <c r="L1793" s="19">
        <f t="shared" si="326"/>
        <v>44720000</v>
      </c>
      <c r="M1793" s="20"/>
      <c r="N1793" s="20"/>
      <c r="O1793" s="81"/>
      <c r="P1793" s="55"/>
      <c r="Q1793" s="55"/>
      <c r="R1793" s="14"/>
      <c r="S1793" s="14"/>
    </row>
    <row r="1794" spans="2:19" ht="12.75" hidden="1" customHeight="1" x14ac:dyDescent="0.25">
      <c r="B1794" s="16">
        <v>43655.083333333336</v>
      </c>
      <c r="C1794" s="50" t="s">
        <v>1713</v>
      </c>
      <c r="D1794" s="34"/>
      <c r="E1794" s="37">
        <v>6240000</v>
      </c>
      <c r="F1794" s="37"/>
      <c r="G1794" s="37">
        <f t="shared" si="324"/>
        <v>6240000</v>
      </c>
      <c r="H1794" s="64"/>
      <c r="I1794" s="64">
        <v>219481.36</v>
      </c>
      <c r="J1794" s="64">
        <v>53406.66</v>
      </c>
      <c r="K1794" s="18">
        <f t="shared" si="325"/>
        <v>5967111.9799999995</v>
      </c>
      <c r="L1794" s="19">
        <f t="shared" si="326"/>
        <v>38480000</v>
      </c>
      <c r="M1794" s="20"/>
      <c r="N1794" s="20"/>
      <c r="O1794" s="81"/>
      <c r="P1794" s="55"/>
      <c r="Q1794" s="55"/>
      <c r="R1794" s="14"/>
      <c r="S1794" s="14"/>
    </row>
    <row r="1795" spans="2:19" ht="12" hidden="1" customHeight="1" x14ac:dyDescent="0.25">
      <c r="B1795" s="16">
        <v>43686.083333333336</v>
      </c>
      <c r="C1795" s="50" t="s">
        <v>1714</v>
      </c>
      <c r="D1795" s="34"/>
      <c r="E1795" s="37">
        <v>6240000</v>
      </c>
      <c r="F1795" s="37"/>
      <c r="G1795" s="37">
        <f t="shared" si="324"/>
        <v>6240000</v>
      </c>
      <c r="H1795" s="64"/>
      <c r="I1795" s="64">
        <v>219481.36</v>
      </c>
      <c r="J1795" s="64">
        <v>53406.66</v>
      </c>
      <c r="K1795" s="18">
        <f t="shared" si="325"/>
        <v>5967111.9799999995</v>
      </c>
      <c r="L1795" s="19">
        <f t="shared" si="326"/>
        <v>32240000</v>
      </c>
      <c r="M1795" s="20"/>
      <c r="N1795" s="20"/>
      <c r="O1795" s="81"/>
      <c r="P1795" s="85"/>
      <c r="Q1795" s="85"/>
      <c r="R1795" s="14"/>
      <c r="S1795" s="14"/>
    </row>
    <row r="1796" spans="2:19" ht="12.75" hidden="1" customHeight="1" x14ac:dyDescent="0.25">
      <c r="B1796" s="16">
        <v>43707.083333333336</v>
      </c>
      <c r="C1796" s="50" t="s">
        <v>1715</v>
      </c>
      <c r="D1796" s="34"/>
      <c r="E1796" s="37">
        <v>6240000</v>
      </c>
      <c r="F1796" s="37"/>
      <c r="G1796" s="37">
        <f t="shared" si="324"/>
        <v>6240000</v>
      </c>
      <c r="H1796" s="64"/>
      <c r="I1796" s="64">
        <v>219481.36</v>
      </c>
      <c r="J1796" s="64">
        <v>53406.66</v>
      </c>
      <c r="K1796" s="18">
        <f t="shared" si="325"/>
        <v>5967111.9799999995</v>
      </c>
      <c r="L1796" s="19">
        <f t="shared" si="326"/>
        <v>26000000</v>
      </c>
      <c r="M1796" s="20"/>
      <c r="N1796" s="20"/>
      <c r="O1796" s="81"/>
      <c r="P1796" s="85"/>
      <c r="Q1796" s="85"/>
      <c r="R1796" s="14"/>
      <c r="S1796" s="14"/>
    </row>
    <row r="1797" spans="2:19" ht="12.75" hidden="1" customHeight="1" x14ac:dyDescent="0.25">
      <c r="B1797" s="16">
        <v>43745.083333333336</v>
      </c>
      <c r="C1797" s="50" t="s">
        <v>1716</v>
      </c>
      <c r="D1797" s="34"/>
      <c r="E1797" s="37">
        <v>6240000</v>
      </c>
      <c r="F1797" s="37"/>
      <c r="G1797" s="37">
        <f t="shared" si="324"/>
        <v>6240000</v>
      </c>
      <c r="H1797" s="64"/>
      <c r="I1797" s="64">
        <v>219481.36</v>
      </c>
      <c r="J1797" s="64">
        <v>53406.66</v>
      </c>
      <c r="K1797" s="18">
        <f t="shared" si="325"/>
        <v>5967111.9799999995</v>
      </c>
      <c r="L1797" s="19">
        <f t="shared" si="326"/>
        <v>19760000</v>
      </c>
      <c r="M1797" s="20"/>
      <c r="N1797" s="20"/>
      <c r="O1797" s="81"/>
      <c r="P1797" s="85"/>
      <c r="Q1797" s="85"/>
      <c r="R1797" s="14"/>
      <c r="S1797" s="14"/>
    </row>
    <row r="1798" spans="2:19" ht="12.75" hidden="1" customHeight="1" x14ac:dyDescent="0.25">
      <c r="B1798" s="16">
        <v>43770.083333333336</v>
      </c>
      <c r="C1798" s="50" t="s">
        <v>1717</v>
      </c>
      <c r="D1798" s="34"/>
      <c r="E1798" s="37">
        <v>6240000</v>
      </c>
      <c r="F1798" s="37"/>
      <c r="G1798" s="37">
        <f t="shared" si="324"/>
        <v>6240000</v>
      </c>
      <c r="H1798" s="64"/>
      <c r="I1798" s="64">
        <v>219481.36</v>
      </c>
      <c r="J1798" s="64">
        <v>53406.66</v>
      </c>
      <c r="K1798" s="18">
        <f t="shared" si="325"/>
        <v>5967111.9799999995</v>
      </c>
      <c r="L1798" s="19">
        <f t="shared" si="326"/>
        <v>13520000</v>
      </c>
      <c r="M1798" s="20"/>
      <c r="N1798" s="20"/>
      <c r="O1798" s="81"/>
      <c r="P1798" s="85"/>
      <c r="Q1798" s="85"/>
      <c r="R1798" s="14"/>
      <c r="S1798" s="14"/>
    </row>
    <row r="1799" spans="2:19" ht="12.75" hidden="1" customHeight="1" x14ac:dyDescent="0.25">
      <c r="B1799" s="16">
        <v>43802.125</v>
      </c>
      <c r="C1799" s="50" t="s">
        <v>1718</v>
      </c>
      <c r="D1799" s="34"/>
      <c r="E1799" s="37">
        <v>6240000</v>
      </c>
      <c r="F1799" s="37"/>
      <c r="G1799" s="37">
        <f t="shared" si="324"/>
        <v>6240000</v>
      </c>
      <c r="H1799" s="64"/>
      <c r="I1799" s="64">
        <v>219481.36</v>
      </c>
      <c r="J1799" s="64">
        <v>53406.66</v>
      </c>
      <c r="K1799" s="18">
        <f t="shared" si="325"/>
        <v>5967111.9799999995</v>
      </c>
      <c r="L1799" s="19">
        <f t="shared" si="326"/>
        <v>7280000</v>
      </c>
      <c r="M1799" s="20"/>
      <c r="N1799" s="20"/>
      <c r="O1799" s="81"/>
      <c r="P1799" s="85"/>
      <c r="Q1799" s="85"/>
      <c r="R1799" s="14"/>
      <c r="S1799" s="14"/>
    </row>
    <row r="1800" spans="2:19" ht="12.75" hidden="1" customHeight="1" x14ac:dyDescent="0.25">
      <c r="B1800" s="16">
        <v>43823.125</v>
      </c>
      <c r="C1800" s="50" t="s">
        <v>1719</v>
      </c>
      <c r="D1800" s="34"/>
      <c r="E1800" s="37">
        <v>6240000</v>
      </c>
      <c r="F1800" s="37"/>
      <c r="G1800" s="37">
        <f t="shared" si="324"/>
        <v>6240000</v>
      </c>
      <c r="H1800" s="64"/>
      <c r="I1800" s="64">
        <v>219481.36</v>
      </c>
      <c r="J1800" s="64">
        <v>53406.66</v>
      </c>
      <c r="K1800" s="18">
        <f t="shared" si="325"/>
        <v>5967111.9799999995</v>
      </c>
      <c r="L1800" s="19">
        <f t="shared" si="326"/>
        <v>1040000</v>
      </c>
      <c r="M1800" s="20"/>
      <c r="N1800" s="20"/>
      <c r="O1800" s="81"/>
      <c r="P1800" s="85"/>
      <c r="Q1800" s="85"/>
      <c r="R1800" s="14"/>
      <c r="S1800" s="14"/>
    </row>
    <row r="1801" spans="2:19" ht="12.75" hidden="1" customHeight="1" x14ac:dyDescent="0.25">
      <c r="B1801" s="16"/>
      <c r="C1801" s="50" t="s">
        <v>654</v>
      </c>
      <c r="D1801" s="34"/>
      <c r="E1801" s="37">
        <v>1040000</v>
      </c>
      <c r="F1801" s="37"/>
      <c r="G1801" s="37"/>
      <c r="H1801" s="64"/>
      <c r="I1801" s="64"/>
      <c r="J1801" s="64"/>
      <c r="K1801" s="18"/>
      <c r="L1801" s="19">
        <f>+L1800-E1801</f>
        <v>0</v>
      </c>
      <c r="M1801" s="20"/>
      <c r="N1801" s="20"/>
      <c r="O1801" s="81"/>
      <c r="P1801" s="85"/>
      <c r="Q1801" s="85"/>
      <c r="R1801" s="14"/>
      <c r="S1801" s="14"/>
    </row>
    <row r="1802" spans="2:19" ht="14.25" hidden="1" customHeight="1" x14ac:dyDescent="0.25">
      <c r="B1802" s="9" t="s">
        <v>1720</v>
      </c>
      <c r="C1802" s="10"/>
      <c r="D1802" s="11">
        <v>114040000</v>
      </c>
      <c r="E1802" s="11">
        <f>+D1802</f>
        <v>114040000</v>
      </c>
      <c r="F1802" s="11"/>
      <c r="G1802" s="11"/>
      <c r="H1802" s="11"/>
      <c r="I1802" s="11"/>
      <c r="J1802" s="11"/>
      <c r="K1802" s="11"/>
      <c r="L1802" s="11">
        <f>+D1802</f>
        <v>114040000</v>
      </c>
      <c r="M1802" s="12"/>
      <c r="N1802" s="12"/>
      <c r="P1802" s="55"/>
      <c r="Q1802" s="55"/>
      <c r="R1802" s="14"/>
      <c r="S1802" s="14"/>
    </row>
    <row r="1803" spans="2:19" ht="12.75" hidden="1" customHeight="1" x14ac:dyDescent="0.25">
      <c r="B1803" s="16">
        <v>43580.083333333336</v>
      </c>
      <c r="C1803" s="50" t="s">
        <v>1721</v>
      </c>
      <c r="D1803" s="34"/>
      <c r="E1803" s="37">
        <v>3328000</v>
      </c>
      <c r="F1803" s="37"/>
      <c r="G1803" s="37">
        <f t="shared" ref="G1803:G1818" si="327">+E1803</f>
        <v>3328000</v>
      </c>
      <c r="H1803" s="64"/>
      <c r="I1803" s="64"/>
      <c r="J1803" s="64">
        <v>28483.55</v>
      </c>
      <c r="K1803" s="18">
        <f t="shared" ref="K1803:K1818" si="328">+G1803-H1803-I1803-J1803</f>
        <v>3299516.45</v>
      </c>
      <c r="L1803" s="19">
        <f t="shared" ref="L1803:L1818" si="329">+L1802-G1803</f>
        <v>110712000</v>
      </c>
      <c r="M1803" s="20"/>
      <c r="N1803" s="20"/>
      <c r="O1803" s="81">
        <f>+L1819-'[1]ANEXO 7 - PPTO VIG 2019'!T76</f>
        <v>0</v>
      </c>
      <c r="P1803" s="55"/>
      <c r="Q1803" s="55"/>
      <c r="R1803" s="14"/>
      <c r="S1803" s="14"/>
    </row>
    <row r="1804" spans="2:19" ht="12.75" hidden="1" customHeight="1" x14ac:dyDescent="0.25">
      <c r="B1804" s="16">
        <v>43595.083333333336</v>
      </c>
      <c r="C1804" s="50" t="s">
        <v>1722</v>
      </c>
      <c r="D1804" s="34"/>
      <c r="E1804" s="37">
        <v>8320000</v>
      </c>
      <c r="F1804" s="37"/>
      <c r="G1804" s="37">
        <f t="shared" si="327"/>
        <v>8320000</v>
      </c>
      <c r="H1804" s="64">
        <v>0</v>
      </c>
      <c r="I1804" s="64">
        <v>273870.18</v>
      </c>
      <c r="J1804" s="64">
        <v>71208.88</v>
      </c>
      <c r="K1804" s="18">
        <f t="shared" si="328"/>
        <v>7974920.9400000004</v>
      </c>
      <c r="L1804" s="19">
        <f t="shared" si="329"/>
        <v>102392000</v>
      </c>
      <c r="M1804" s="20"/>
      <c r="N1804" s="20"/>
      <c r="O1804" s="81"/>
      <c r="P1804" s="55"/>
      <c r="Q1804" s="55"/>
      <c r="R1804" s="14"/>
      <c r="S1804" s="14"/>
    </row>
    <row r="1805" spans="2:19" ht="12.75" hidden="1" customHeight="1" x14ac:dyDescent="0.25">
      <c r="B1805" s="16">
        <v>43626.083333333336</v>
      </c>
      <c r="C1805" s="50" t="s">
        <v>1723</v>
      </c>
      <c r="D1805" s="34"/>
      <c r="E1805" s="37">
        <v>8320000</v>
      </c>
      <c r="F1805" s="37"/>
      <c r="G1805" s="37">
        <f t="shared" si="327"/>
        <v>8320000</v>
      </c>
      <c r="H1805" s="64">
        <v>0</v>
      </c>
      <c r="I1805" s="64">
        <v>273870.18</v>
      </c>
      <c r="J1805" s="64">
        <v>71208.88</v>
      </c>
      <c r="K1805" s="18">
        <f t="shared" si="328"/>
        <v>7974920.9400000004</v>
      </c>
      <c r="L1805" s="19">
        <f t="shared" si="329"/>
        <v>94072000</v>
      </c>
      <c r="M1805" s="20"/>
      <c r="N1805" s="20"/>
      <c r="O1805" s="81"/>
      <c r="P1805" s="55"/>
      <c r="Q1805" s="55"/>
      <c r="R1805" s="14"/>
      <c r="S1805" s="14"/>
    </row>
    <row r="1806" spans="2:19" ht="12.75" hidden="1" customHeight="1" x14ac:dyDescent="0.25">
      <c r="B1806" s="16">
        <v>43662.083333333336</v>
      </c>
      <c r="C1806" s="50" t="s">
        <v>1724</v>
      </c>
      <c r="D1806" s="34"/>
      <c r="E1806" s="37">
        <v>8320000</v>
      </c>
      <c r="F1806" s="37"/>
      <c r="G1806" s="37">
        <f t="shared" si="327"/>
        <v>8320000</v>
      </c>
      <c r="H1806" s="64">
        <v>0</v>
      </c>
      <c r="I1806" s="64">
        <v>273870.18</v>
      </c>
      <c r="J1806" s="64">
        <v>71208.88</v>
      </c>
      <c r="K1806" s="18">
        <f t="shared" si="328"/>
        <v>7974920.9400000004</v>
      </c>
      <c r="L1806" s="19">
        <f t="shared" si="329"/>
        <v>85752000</v>
      </c>
      <c r="M1806" s="20"/>
      <c r="N1806" s="20"/>
      <c r="O1806" s="81"/>
      <c r="P1806" s="55"/>
      <c r="Q1806" s="55"/>
      <c r="R1806" s="14"/>
      <c r="S1806" s="14"/>
    </row>
    <row r="1807" spans="2:19" ht="12.75" hidden="1" customHeight="1" x14ac:dyDescent="0.25">
      <c r="B1807" s="16">
        <v>43676.083333333336</v>
      </c>
      <c r="C1807" s="50" t="s">
        <v>1725</v>
      </c>
      <c r="D1807" s="34"/>
      <c r="E1807" s="37">
        <v>2878185</v>
      </c>
      <c r="F1807" s="37"/>
      <c r="G1807" s="37">
        <f t="shared" si="327"/>
        <v>2878185</v>
      </c>
      <c r="H1807" s="64">
        <v>0</v>
      </c>
      <c r="I1807" s="64">
        <v>433688.26</v>
      </c>
      <c r="J1807" s="64">
        <v>27803.27</v>
      </c>
      <c r="K1807" s="18">
        <f t="shared" si="328"/>
        <v>2416693.4700000002</v>
      </c>
      <c r="L1807" s="19">
        <f t="shared" si="329"/>
        <v>82873815</v>
      </c>
      <c r="M1807" s="20"/>
      <c r="N1807" s="20"/>
      <c r="O1807" s="81"/>
      <c r="P1807" s="55"/>
      <c r="Q1807" s="55"/>
      <c r="R1807" s="14"/>
      <c r="S1807" s="14"/>
    </row>
    <row r="1808" spans="2:19" ht="12.75" hidden="1" customHeight="1" x14ac:dyDescent="0.25">
      <c r="B1808" s="16">
        <v>43686.083333333336</v>
      </c>
      <c r="C1808" s="50" t="s">
        <v>1726</v>
      </c>
      <c r="D1808" s="34"/>
      <c r="E1808" s="37">
        <v>8320000</v>
      </c>
      <c r="F1808" s="37"/>
      <c r="G1808" s="37">
        <f t="shared" si="327"/>
        <v>8320000</v>
      </c>
      <c r="H1808" s="64">
        <v>0</v>
      </c>
      <c r="I1808" s="64">
        <v>273870.18</v>
      </c>
      <c r="J1808" s="64">
        <v>71208.88</v>
      </c>
      <c r="K1808" s="18">
        <f t="shared" si="328"/>
        <v>7974920.9400000004</v>
      </c>
      <c r="L1808" s="19">
        <f t="shared" si="329"/>
        <v>74553815</v>
      </c>
      <c r="M1808" s="20"/>
      <c r="N1808" s="20"/>
      <c r="O1808" s="81"/>
      <c r="P1808" s="85"/>
      <c r="Q1808" s="85"/>
      <c r="R1808" s="14"/>
      <c r="S1808" s="14"/>
    </row>
    <row r="1809" spans="2:19" ht="12.75" hidden="1" customHeight="1" x14ac:dyDescent="0.25">
      <c r="B1809" s="16">
        <v>43689.083333333336</v>
      </c>
      <c r="C1809" s="50" t="s">
        <v>1727</v>
      </c>
      <c r="D1809" s="34"/>
      <c r="E1809" s="37">
        <v>1852502</v>
      </c>
      <c r="F1809" s="37"/>
      <c r="G1809" s="37">
        <f t="shared" si="327"/>
        <v>1852502</v>
      </c>
      <c r="H1809" s="64">
        <v>0</v>
      </c>
      <c r="I1809" s="64">
        <v>134649.43</v>
      </c>
      <c r="J1809" s="64">
        <v>10608.53</v>
      </c>
      <c r="K1809" s="18">
        <f t="shared" si="328"/>
        <v>1707244.04</v>
      </c>
      <c r="L1809" s="19">
        <f t="shared" si="329"/>
        <v>72701313</v>
      </c>
      <c r="M1809" s="20"/>
      <c r="N1809" s="20"/>
      <c r="O1809" s="81"/>
      <c r="P1809" s="85"/>
      <c r="Q1809" s="85"/>
      <c r="R1809" s="14"/>
      <c r="S1809" s="14"/>
    </row>
    <row r="1810" spans="2:19" ht="12.75" hidden="1" customHeight="1" x14ac:dyDescent="0.25">
      <c r="B1810" s="16">
        <v>43719.083333333336</v>
      </c>
      <c r="C1810" s="50" t="s">
        <v>1728</v>
      </c>
      <c r="D1810" s="34"/>
      <c r="E1810" s="37">
        <v>8320000</v>
      </c>
      <c r="F1810" s="37"/>
      <c r="G1810" s="37">
        <f t="shared" si="327"/>
        <v>8320000</v>
      </c>
      <c r="H1810" s="64">
        <v>0</v>
      </c>
      <c r="I1810" s="64">
        <v>273870.18</v>
      </c>
      <c r="J1810" s="64">
        <v>71208.88</v>
      </c>
      <c r="K1810" s="18">
        <f t="shared" si="328"/>
        <v>7974920.9400000004</v>
      </c>
      <c r="L1810" s="19">
        <f t="shared" si="329"/>
        <v>64381313</v>
      </c>
      <c r="M1810" s="20"/>
      <c r="N1810" s="20"/>
      <c r="O1810" s="81"/>
      <c r="P1810" s="85"/>
      <c r="Q1810" s="85"/>
      <c r="R1810" s="14"/>
      <c r="S1810" s="14"/>
    </row>
    <row r="1811" spans="2:19" ht="12.75" hidden="1" customHeight="1" x14ac:dyDescent="0.25">
      <c r="B1811" s="16">
        <v>43719.083333333336</v>
      </c>
      <c r="C1811" s="50" t="s">
        <v>1729</v>
      </c>
      <c r="D1811" s="34"/>
      <c r="E1811" s="37">
        <v>2114626</v>
      </c>
      <c r="F1811" s="37"/>
      <c r="G1811" s="37">
        <f t="shared" si="327"/>
        <v>2114626</v>
      </c>
      <c r="H1811" s="64">
        <v>0</v>
      </c>
      <c r="I1811" s="64"/>
      <c r="J1811" s="64">
        <v>20427.29</v>
      </c>
      <c r="K1811" s="18">
        <f t="shared" si="328"/>
        <v>2094198.71</v>
      </c>
      <c r="L1811" s="19">
        <f t="shared" si="329"/>
        <v>62266687</v>
      </c>
      <c r="M1811" s="20"/>
      <c r="N1811" s="20"/>
      <c r="O1811" s="81"/>
      <c r="P1811" s="85"/>
      <c r="Q1811" s="85"/>
      <c r="R1811" s="14"/>
      <c r="S1811" s="14"/>
    </row>
    <row r="1812" spans="2:19" ht="12.75" hidden="1" customHeight="1" x14ac:dyDescent="0.25">
      <c r="B1812" s="16">
        <v>43749.083333333336</v>
      </c>
      <c r="C1812" s="50" t="s">
        <v>1730</v>
      </c>
      <c r="D1812" s="34"/>
      <c r="E1812" s="37">
        <v>8320000</v>
      </c>
      <c r="F1812" s="37"/>
      <c r="G1812" s="37">
        <f t="shared" si="327"/>
        <v>8320000</v>
      </c>
      <c r="H1812" s="64">
        <v>0</v>
      </c>
      <c r="I1812" s="64">
        <v>273870.18</v>
      </c>
      <c r="J1812" s="64">
        <v>71208.88</v>
      </c>
      <c r="K1812" s="18">
        <f t="shared" si="328"/>
        <v>7974920.9400000004</v>
      </c>
      <c r="L1812" s="19">
        <f t="shared" si="329"/>
        <v>53946687</v>
      </c>
      <c r="M1812" s="20"/>
      <c r="N1812" s="20"/>
      <c r="O1812" s="81"/>
      <c r="P1812" s="85"/>
      <c r="Q1812" s="85"/>
      <c r="R1812" s="14"/>
      <c r="S1812" s="14"/>
    </row>
    <row r="1813" spans="2:19" ht="12.75" hidden="1" customHeight="1" x14ac:dyDescent="0.25">
      <c r="B1813" s="16">
        <v>43747.083333333336</v>
      </c>
      <c r="C1813" s="50" t="s">
        <v>1731</v>
      </c>
      <c r="D1813" s="34"/>
      <c r="E1813" s="37">
        <v>1330373</v>
      </c>
      <c r="F1813" s="37"/>
      <c r="G1813" s="37">
        <f t="shared" si="327"/>
        <v>1330373</v>
      </c>
      <c r="H1813" s="64">
        <v>0</v>
      </c>
      <c r="I1813" s="64">
        <v>0</v>
      </c>
      <c r="J1813" s="64">
        <v>7577.53</v>
      </c>
      <c r="K1813" s="18">
        <f t="shared" si="328"/>
        <v>1322795.47</v>
      </c>
      <c r="L1813" s="19">
        <f t="shared" si="329"/>
        <v>52616314</v>
      </c>
      <c r="M1813" s="20"/>
      <c r="N1813" s="20"/>
      <c r="O1813" s="81"/>
      <c r="P1813" s="85"/>
      <c r="Q1813" s="85"/>
      <c r="R1813" s="14"/>
      <c r="S1813" s="14"/>
    </row>
    <row r="1814" spans="2:19" ht="12.75" hidden="1" customHeight="1" x14ac:dyDescent="0.25">
      <c r="B1814" s="16">
        <v>43783.125</v>
      </c>
      <c r="C1814" s="50" t="s">
        <v>1732</v>
      </c>
      <c r="D1814" s="34"/>
      <c r="E1814" s="37">
        <v>8320000</v>
      </c>
      <c r="F1814" s="37"/>
      <c r="G1814" s="37">
        <f t="shared" si="327"/>
        <v>8320000</v>
      </c>
      <c r="H1814" s="64">
        <v>0</v>
      </c>
      <c r="I1814" s="64">
        <v>273870.18</v>
      </c>
      <c r="J1814" s="64">
        <v>71208.88</v>
      </c>
      <c r="K1814" s="18">
        <f t="shared" si="328"/>
        <v>7974920.9400000004</v>
      </c>
      <c r="L1814" s="19">
        <f t="shared" si="329"/>
        <v>44296314</v>
      </c>
      <c r="M1814" s="20"/>
      <c r="N1814" s="20"/>
      <c r="O1814" s="81"/>
      <c r="P1814" s="85"/>
      <c r="Q1814" s="85"/>
      <c r="R1814" s="14"/>
      <c r="S1814" s="14"/>
    </row>
    <row r="1815" spans="2:19" ht="12.75" hidden="1" customHeight="1" x14ac:dyDescent="0.25">
      <c r="B1815" s="16">
        <v>43782.125</v>
      </c>
      <c r="C1815" s="50" t="s">
        <v>1733</v>
      </c>
      <c r="D1815" s="34"/>
      <c r="E1815" s="37">
        <v>1459453</v>
      </c>
      <c r="F1815" s="37"/>
      <c r="G1815" s="37">
        <f t="shared" si="327"/>
        <v>1459453</v>
      </c>
      <c r="H1815" s="64">
        <v>0</v>
      </c>
      <c r="I1815" s="64">
        <v>0</v>
      </c>
      <c r="J1815" s="64">
        <v>7577.53</v>
      </c>
      <c r="K1815" s="18">
        <f t="shared" si="328"/>
        <v>1451875.47</v>
      </c>
      <c r="L1815" s="19">
        <f t="shared" si="329"/>
        <v>42836861</v>
      </c>
      <c r="M1815" s="20"/>
      <c r="N1815" s="20"/>
      <c r="O1815" s="81"/>
      <c r="P1815" s="85"/>
      <c r="Q1815" s="85"/>
      <c r="R1815" s="14"/>
      <c r="S1815" s="14"/>
    </row>
    <row r="1816" spans="2:19" ht="12.75" hidden="1" customHeight="1" x14ac:dyDescent="0.25">
      <c r="B1816" s="16">
        <v>43811.125</v>
      </c>
      <c r="C1816" s="50" t="s">
        <v>1734</v>
      </c>
      <c r="D1816" s="34"/>
      <c r="E1816" s="37">
        <v>8320000</v>
      </c>
      <c r="F1816" s="37"/>
      <c r="G1816" s="37">
        <f t="shared" si="327"/>
        <v>8320000</v>
      </c>
      <c r="H1816" s="64">
        <v>0</v>
      </c>
      <c r="I1816" s="64">
        <v>273870.18</v>
      </c>
      <c r="J1816" s="64">
        <v>71208.88</v>
      </c>
      <c r="K1816" s="18">
        <f t="shared" si="328"/>
        <v>7974920.9400000004</v>
      </c>
      <c r="L1816" s="19">
        <f t="shared" si="329"/>
        <v>34516861</v>
      </c>
      <c r="M1816" s="20"/>
      <c r="N1816" s="20"/>
      <c r="O1816" s="81"/>
      <c r="P1816" s="85"/>
      <c r="Q1816" s="85"/>
      <c r="R1816" s="14"/>
      <c r="S1816" s="14"/>
    </row>
    <row r="1817" spans="2:19" ht="12.75" hidden="1" customHeight="1" x14ac:dyDescent="0.25">
      <c r="B1817" s="16">
        <v>43816.125</v>
      </c>
      <c r="C1817" s="50" t="s">
        <v>1735</v>
      </c>
      <c r="D1817" s="34"/>
      <c r="E1817" s="37">
        <v>1450083</v>
      </c>
      <c r="F1817" s="37"/>
      <c r="G1817" s="37">
        <f t="shared" si="327"/>
        <v>1450083</v>
      </c>
      <c r="H1817" s="64">
        <v>0</v>
      </c>
      <c r="I1817" s="64">
        <v>89424.24</v>
      </c>
      <c r="J1817" s="64">
        <v>7577.53</v>
      </c>
      <c r="K1817" s="18">
        <f t="shared" si="328"/>
        <v>1353081.23</v>
      </c>
      <c r="L1817" s="19">
        <f t="shared" si="329"/>
        <v>33066778</v>
      </c>
      <c r="M1817" s="20"/>
      <c r="N1817" s="20"/>
      <c r="O1817" s="81"/>
      <c r="P1817" s="85"/>
      <c r="Q1817" s="85"/>
      <c r="R1817" s="14"/>
      <c r="S1817" s="14"/>
    </row>
    <row r="1818" spans="2:19" ht="12.75" hidden="1" customHeight="1" x14ac:dyDescent="0.25">
      <c r="B1818" s="16">
        <v>43823.125</v>
      </c>
      <c r="C1818" s="50" t="s">
        <v>1736</v>
      </c>
      <c r="D1818" s="34"/>
      <c r="E1818" s="37">
        <v>8320000</v>
      </c>
      <c r="F1818" s="37"/>
      <c r="G1818" s="37">
        <f t="shared" si="327"/>
        <v>8320000</v>
      </c>
      <c r="H1818" s="64">
        <v>0</v>
      </c>
      <c r="I1818" s="64">
        <v>273870.18</v>
      </c>
      <c r="J1818" s="64">
        <v>71208.88</v>
      </c>
      <c r="K1818" s="18">
        <f t="shared" si="328"/>
        <v>7974920.9400000004</v>
      </c>
      <c r="L1818" s="19">
        <f t="shared" si="329"/>
        <v>24746778</v>
      </c>
      <c r="M1818" s="20"/>
      <c r="N1818" s="20"/>
      <c r="O1818" s="81"/>
      <c r="P1818" s="85"/>
      <c r="Q1818" s="85"/>
      <c r="R1818" s="14"/>
      <c r="S1818" s="14"/>
    </row>
    <row r="1819" spans="2:19" ht="12.75" hidden="1" customHeight="1" x14ac:dyDescent="0.25">
      <c r="B1819" s="16"/>
      <c r="C1819" s="50" t="s">
        <v>654</v>
      </c>
      <c r="D1819" s="34"/>
      <c r="E1819" s="37">
        <v>24746778</v>
      </c>
      <c r="F1819" s="37"/>
      <c r="G1819" s="37"/>
      <c r="H1819" s="64"/>
      <c r="I1819" s="64"/>
      <c r="J1819" s="64"/>
      <c r="K1819" s="18"/>
      <c r="L1819" s="19">
        <f>+L1818-E1819</f>
        <v>0</v>
      </c>
      <c r="M1819" s="20"/>
      <c r="N1819" s="20"/>
      <c r="O1819" s="81"/>
      <c r="P1819" s="85"/>
      <c r="Q1819" s="85"/>
      <c r="R1819" s="14"/>
      <c r="S1819" s="14"/>
    </row>
    <row r="1820" spans="2:19" ht="15" hidden="1" x14ac:dyDescent="0.25">
      <c r="B1820" s="9" t="s">
        <v>1737</v>
      </c>
      <c r="C1820" s="10"/>
      <c r="D1820" s="11">
        <v>70933333</v>
      </c>
      <c r="E1820" s="11">
        <f>+D1820</f>
        <v>70933333</v>
      </c>
      <c r="F1820" s="11"/>
      <c r="G1820" s="11"/>
      <c r="H1820" s="11"/>
      <c r="I1820" s="11"/>
      <c r="J1820" s="11"/>
      <c r="K1820" s="11"/>
      <c r="L1820" s="11">
        <f>+D1820</f>
        <v>70933333</v>
      </c>
      <c r="M1820" s="12"/>
      <c r="N1820" s="12"/>
      <c r="P1820" s="55"/>
      <c r="Q1820" s="55"/>
      <c r="R1820" s="14"/>
      <c r="S1820" s="14"/>
    </row>
    <row r="1821" spans="2:19" ht="12.75" hidden="1" customHeight="1" x14ac:dyDescent="0.25">
      <c r="B1821" s="16">
        <v>43588.083333333336</v>
      </c>
      <c r="C1821" s="50" t="s">
        <v>1738</v>
      </c>
      <c r="D1821" s="34"/>
      <c r="E1821" s="37">
        <v>3733333</v>
      </c>
      <c r="F1821" s="37"/>
      <c r="G1821" s="37">
        <f t="shared" ref="G1821:G1829" si="330">+E1821</f>
        <v>3733333</v>
      </c>
      <c r="H1821" s="64"/>
      <c r="I1821" s="64"/>
      <c r="J1821" s="64">
        <v>31952.7</v>
      </c>
      <c r="K1821" s="18">
        <f t="shared" ref="K1821:K1829" si="331">+G1821-H1821-I1821-J1821</f>
        <v>3701380.3</v>
      </c>
      <c r="L1821" s="19">
        <f t="shared" ref="L1821:L1829" si="332">+L1820-G1821</f>
        <v>67200000</v>
      </c>
      <c r="M1821" s="20"/>
      <c r="N1821" s="20"/>
      <c r="O1821" s="81">
        <f>+L1830-'[1]ANEXO 7 - PPTO VIG 2019'!T77</f>
        <v>0</v>
      </c>
      <c r="P1821" s="55"/>
      <c r="Q1821" s="55"/>
      <c r="R1821" s="14"/>
      <c r="S1821" s="14"/>
    </row>
    <row r="1822" spans="2:19" ht="12.75" hidden="1" customHeight="1" x14ac:dyDescent="0.25">
      <c r="B1822" s="16">
        <v>43662.083333333336</v>
      </c>
      <c r="C1822" s="50" t="s">
        <v>1739</v>
      </c>
      <c r="D1822" s="34"/>
      <c r="E1822" s="37">
        <v>8000000</v>
      </c>
      <c r="F1822" s="37"/>
      <c r="G1822" s="37">
        <f t="shared" si="330"/>
        <v>8000000</v>
      </c>
      <c r="H1822" s="64"/>
      <c r="I1822" s="64">
        <v>470560</v>
      </c>
      <c r="J1822" s="64">
        <v>68470.080000000002</v>
      </c>
      <c r="K1822" s="18">
        <f t="shared" si="331"/>
        <v>7460969.9199999999</v>
      </c>
      <c r="L1822" s="19">
        <f t="shared" si="332"/>
        <v>59200000</v>
      </c>
      <c r="M1822" s="20"/>
      <c r="N1822" s="20"/>
      <c r="O1822" s="81"/>
      <c r="P1822" s="55"/>
      <c r="Q1822" s="55"/>
      <c r="R1822" s="14"/>
      <c r="S1822" s="14"/>
    </row>
    <row r="1823" spans="2:19" ht="12.75" hidden="1" customHeight="1" x14ac:dyDescent="0.25">
      <c r="B1823" s="16">
        <v>43700.083333333336</v>
      </c>
      <c r="C1823" s="50" t="s">
        <v>1740</v>
      </c>
      <c r="D1823" s="34"/>
      <c r="E1823" s="37">
        <v>8000000</v>
      </c>
      <c r="F1823" s="37"/>
      <c r="G1823" s="37">
        <f t="shared" si="330"/>
        <v>8000000</v>
      </c>
      <c r="H1823" s="64"/>
      <c r="I1823" s="64">
        <v>665608.01</v>
      </c>
      <c r="J1823" s="64">
        <v>77280</v>
      </c>
      <c r="K1823" s="18">
        <f t="shared" si="331"/>
        <v>7257111.9900000002</v>
      </c>
      <c r="L1823" s="19">
        <f t="shared" si="332"/>
        <v>51200000</v>
      </c>
      <c r="M1823" s="20"/>
      <c r="N1823" s="20"/>
      <c r="O1823" s="81"/>
      <c r="P1823" s="85"/>
      <c r="Q1823" s="85"/>
      <c r="R1823" s="14"/>
      <c r="S1823" s="14"/>
    </row>
    <row r="1824" spans="2:19" ht="12.75" hidden="1" customHeight="1" x14ac:dyDescent="0.25">
      <c r="B1824" s="16">
        <v>43718.083333333336</v>
      </c>
      <c r="C1824" s="50" t="s">
        <v>1741</v>
      </c>
      <c r="D1824" s="34"/>
      <c r="E1824" s="37">
        <v>8000000</v>
      </c>
      <c r="F1824" s="37"/>
      <c r="G1824" s="37">
        <f t="shared" si="330"/>
        <v>8000000</v>
      </c>
      <c r="H1824" s="64"/>
      <c r="I1824" s="64">
        <v>470560</v>
      </c>
      <c r="J1824" s="64">
        <v>68470.080000000002</v>
      </c>
      <c r="K1824" s="18">
        <f t="shared" si="331"/>
        <v>7460969.9199999999</v>
      </c>
      <c r="L1824" s="19">
        <f t="shared" si="332"/>
        <v>43200000</v>
      </c>
      <c r="M1824" s="20"/>
      <c r="N1824" s="20"/>
      <c r="O1824" s="81"/>
      <c r="P1824" s="85"/>
      <c r="Q1824" s="85"/>
      <c r="R1824" s="14"/>
      <c r="S1824" s="14"/>
    </row>
    <row r="1825" spans="2:19" ht="12.75" hidden="1" customHeight="1" x14ac:dyDescent="0.25">
      <c r="B1825" s="16">
        <v>43726.083333333336</v>
      </c>
      <c r="C1825" s="50" t="s">
        <v>1742</v>
      </c>
      <c r="D1825" s="34"/>
      <c r="E1825" s="37">
        <v>8000000</v>
      </c>
      <c r="F1825" s="37"/>
      <c r="G1825" s="37">
        <f t="shared" si="330"/>
        <v>8000000</v>
      </c>
      <c r="H1825" s="64"/>
      <c r="I1825" s="64">
        <v>470560</v>
      </c>
      <c r="J1825" s="64">
        <v>68470.080000000002</v>
      </c>
      <c r="K1825" s="18">
        <f t="shared" si="331"/>
        <v>7460969.9199999999</v>
      </c>
      <c r="L1825" s="19">
        <f t="shared" si="332"/>
        <v>35200000</v>
      </c>
      <c r="M1825" s="20"/>
      <c r="N1825" s="20"/>
      <c r="O1825" s="81"/>
      <c r="P1825" s="85"/>
      <c r="Q1825" s="85"/>
      <c r="R1825" s="14"/>
      <c r="S1825" s="14"/>
    </row>
    <row r="1826" spans="2:19" ht="12.75" hidden="1" customHeight="1" x14ac:dyDescent="0.25">
      <c r="B1826" s="16">
        <v>43754</v>
      </c>
      <c r="C1826" s="50" t="s">
        <v>1743</v>
      </c>
      <c r="D1826" s="34"/>
      <c r="E1826" s="37">
        <v>8000000</v>
      </c>
      <c r="F1826" s="37"/>
      <c r="G1826" s="37">
        <f t="shared" si="330"/>
        <v>8000000</v>
      </c>
      <c r="H1826" s="64"/>
      <c r="I1826" s="64">
        <v>470560</v>
      </c>
      <c r="J1826" s="64">
        <v>68470.080000000002</v>
      </c>
      <c r="K1826" s="18">
        <f t="shared" si="331"/>
        <v>7460969.9199999999</v>
      </c>
      <c r="L1826" s="19">
        <f t="shared" si="332"/>
        <v>27200000</v>
      </c>
      <c r="M1826" s="20"/>
      <c r="N1826" s="20"/>
      <c r="O1826" s="81"/>
      <c r="P1826" s="85"/>
      <c r="Q1826" s="85"/>
      <c r="R1826" s="14"/>
      <c r="S1826" s="14"/>
    </row>
    <row r="1827" spans="2:19" ht="12.75" hidden="1" customHeight="1" x14ac:dyDescent="0.25">
      <c r="B1827" s="89">
        <v>43770.083333333336</v>
      </c>
      <c r="C1827" s="90" t="s">
        <v>1744</v>
      </c>
      <c r="D1827" s="34"/>
      <c r="E1827" s="37">
        <v>8000000</v>
      </c>
      <c r="F1827" s="37"/>
      <c r="G1827" s="37">
        <f t="shared" si="330"/>
        <v>8000000</v>
      </c>
      <c r="H1827" s="64"/>
      <c r="I1827" s="64">
        <v>470560</v>
      </c>
      <c r="J1827" s="64">
        <v>68470.080000000002</v>
      </c>
      <c r="K1827" s="18">
        <f t="shared" si="331"/>
        <v>7460969.9199999999</v>
      </c>
      <c r="L1827" s="19">
        <f t="shared" si="332"/>
        <v>19200000</v>
      </c>
      <c r="M1827" s="20"/>
      <c r="N1827" s="20"/>
      <c r="O1827" s="81"/>
      <c r="P1827" s="85"/>
      <c r="Q1827" s="85"/>
      <c r="R1827" s="14"/>
      <c r="S1827" s="14"/>
    </row>
    <row r="1828" spans="2:19" ht="12.75" hidden="1" customHeight="1" x14ac:dyDescent="0.25">
      <c r="B1828" s="89">
        <v>43802.125</v>
      </c>
      <c r="C1828" s="90" t="s">
        <v>1745</v>
      </c>
      <c r="D1828" s="34"/>
      <c r="E1828" s="37">
        <v>8000000</v>
      </c>
      <c r="F1828" s="37"/>
      <c r="G1828" s="37">
        <f t="shared" si="330"/>
        <v>8000000</v>
      </c>
      <c r="H1828" s="64"/>
      <c r="I1828" s="64">
        <v>470560</v>
      </c>
      <c r="J1828" s="64">
        <v>68470.080000000002</v>
      </c>
      <c r="K1828" s="18">
        <f t="shared" si="331"/>
        <v>7460969.9199999999</v>
      </c>
      <c r="L1828" s="19">
        <f t="shared" si="332"/>
        <v>11200000</v>
      </c>
      <c r="M1828" s="20"/>
      <c r="N1828" s="20"/>
      <c r="O1828" s="81"/>
      <c r="P1828" s="85"/>
      <c r="Q1828" s="85"/>
      <c r="R1828" s="14"/>
      <c r="S1828" s="14"/>
    </row>
    <row r="1829" spans="2:19" ht="12.75" hidden="1" customHeight="1" x14ac:dyDescent="0.25">
      <c r="B1829" s="89">
        <v>43823.125</v>
      </c>
      <c r="C1829" s="90" t="s">
        <v>1746</v>
      </c>
      <c r="D1829" s="34"/>
      <c r="E1829" s="37">
        <v>8000000</v>
      </c>
      <c r="F1829" s="37"/>
      <c r="G1829" s="37">
        <f t="shared" si="330"/>
        <v>8000000</v>
      </c>
      <c r="H1829" s="64"/>
      <c r="I1829" s="64">
        <v>470560</v>
      </c>
      <c r="J1829" s="64">
        <v>68470.080000000002</v>
      </c>
      <c r="K1829" s="18">
        <f t="shared" si="331"/>
        <v>7460969.9199999999</v>
      </c>
      <c r="L1829" s="19">
        <f t="shared" si="332"/>
        <v>3200000</v>
      </c>
      <c r="M1829" s="20"/>
      <c r="N1829" s="20"/>
      <c r="O1829" s="81"/>
      <c r="P1829" s="85"/>
      <c r="Q1829" s="85"/>
      <c r="R1829" s="14"/>
      <c r="S1829" s="14"/>
    </row>
    <row r="1830" spans="2:19" ht="12.75" hidden="1" customHeight="1" x14ac:dyDescent="0.25">
      <c r="B1830" s="89"/>
      <c r="C1830" s="90" t="s">
        <v>654</v>
      </c>
      <c r="D1830" s="34"/>
      <c r="E1830" s="37">
        <v>3200000</v>
      </c>
      <c r="F1830" s="37"/>
      <c r="G1830" s="37"/>
      <c r="H1830" s="64"/>
      <c r="I1830" s="64"/>
      <c r="J1830" s="64"/>
      <c r="K1830" s="18"/>
      <c r="L1830" s="19">
        <f>+L1829-E1830</f>
        <v>0</v>
      </c>
      <c r="M1830" s="20"/>
      <c r="N1830" s="20"/>
      <c r="O1830" s="81"/>
      <c r="P1830" s="85"/>
      <c r="Q1830" s="85"/>
      <c r="R1830" s="14"/>
      <c r="S1830" s="14"/>
    </row>
    <row r="1831" spans="2:19" ht="15" hidden="1" x14ac:dyDescent="0.25">
      <c r="B1831" s="9" t="s">
        <v>1747</v>
      </c>
      <c r="C1831" s="10"/>
      <c r="D1831" s="11">
        <v>38826667</v>
      </c>
      <c r="E1831" s="11">
        <f>+D1831</f>
        <v>38826667</v>
      </c>
      <c r="F1831" s="11"/>
      <c r="G1831" s="11"/>
      <c r="H1831" s="11"/>
      <c r="I1831" s="11"/>
      <c r="J1831" s="11"/>
      <c r="K1831" s="11"/>
      <c r="L1831" s="11">
        <f>+D1831</f>
        <v>38826667</v>
      </c>
      <c r="M1831" s="12"/>
      <c r="N1831" s="12"/>
      <c r="P1831" s="55"/>
      <c r="Q1831" s="55"/>
      <c r="R1831" s="14"/>
      <c r="S1831" s="14"/>
    </row>
    <row r="1832" spans="2:19" ht="12.75" hidden="1" customHeight="1" x14ac:dyDescent="0.25">
      <c r="B1832" s="16">
        <v>43600.083333333336</v>
      </c>
      <c r="C1832" s="50" t="s">
        <v>1748</v>
      </c>
      <c r="D1832" s="34"/>
      <c r="E1832" s="37">
        <v>1386667.67</v>
      </c>
      <c r="F1832" s="37"/>
      <c r="G1832" s="37">
        <f t="shared" ref="G1832:G1841" si="333">+E1832</f>
        <v>1386667.67</v>
      </c>
      <c r="H1832" s="64"/>
      <c r="I1832" s="64"/>
      <c r="J1832" s="64">
        <v>11868.16</v>
      </c>
      <c r="K1832" s="18">
        <f t="shared" ref="K1832:K1841" si="334">+G1832-H1832-I1832-J1832</f>
        <v>1374799.51</v>
      </c>
      <c r="L1832" s="19">
        <f t="shared" ref="L1832:L1841" si="335">+L1831-G1832</f>
        <v>37439999.329999998</v>
      </c>
      <c r="M1832" s="20"/>
      <c r="N1832" s="20"/>
      <c r="O1832" s="81">
        <f>+L1841-'[1]ANEXO 7 - PPTO VIG 2019'!T37</f>
        <v>0</v>
      </c>
      <c r="P1832" s="55"/>
      <c r="Q1832" s="55"/>
      <c r="R1832" s="14"/>
      <c r="S1832" s="14"/>
    </row>
    <row r="1833" spans="2:19" ht="12.75" hidden="1" customHeight="1" x14ac:dyDescent="0.25">
      <c r="B1833" s="16">
        <v>43615.083333333336</v>
      </c>
      <c r="C1833" s="50" t="s">
        <v>1749</v>
      </c>
      <c r="D1833" s="34"/>
      <c r="E1833" s="37">
        <v>4160000</v>
      </c>
      <c r="F1833" s="37"/>
      <c r="G1833" s="37">
        <f t="shared" si="333"/>
        <v>4160000</v>
      </c>
      <c r="H1833" s="64"/>
      <c r="I1833" s="64"/>
      <c r="J1833" s="64">
        <v>35604.44</v>
      </c>
      <c r="K1833" s="18">
        <f t="shared" si="334"/>
        <v>4124395.56</v>
      </c>
      <c r="L1833" s="19">
        <f t="shared" si="335"/>
        <v>33279999.329999998</v>
      </c>
      <c r="M1833" s="20"/>
      <c r="N1833" s="20"/>
      <c r="O1833" s="81"/>
      <c r="P1833" s="55"/>
      <c r="Q1833" s="55"/>
      <c r="R1833" s="14"/>
      <c r="S1833" s="14"/>
    </row>
    <row r="1834" spans="2:19" ht="12.75" hidden="1" customHeight="1" x14ac:dyDescent="0.25">
      <c r="B1834" s="16">
        <v>43655.083333333336</v>
      </c>
      <c r="C1834" s="50" t="s">
        <v>1750</v>
      </c>
      <c r="D1834" s="34"/>
      <c r="E1834" s="37">
        <v>4160000</v>
      </c>
      <c r="F1834" s="37"/>
      <c r="G1834" s="37">
        <f t="shared" si="333"/>
        <v>4160000</v>
      </c>
      <c r="H1834" s="64"/>
      <c r="I1834" s="64"/>
      <c r="J1834" s="64">
        <v>35604.44</v>
      </c>
      <c r="K1834" s="18">
        <f t="shared" si="334"/>
        <v>4124395.56</v>
      </c>
      <c r="L1834" s="19">
        <f t="shared" si="335"/>
        <v>29119999.329999998</v>
      </c>
      <c r="M1834" s="20"/>
      <c r="N1834" s="20"/>
      <c r="O1834" s="81"/>
      <c r="P1834" s="55"/>
      <c r="Q1834" s="55"/>
      <c r="R1834" s="14"/>
      <c r="S1834" s="14"/>
    </row>
    <row r="1835" spans="2:19" ht="12.75" hidden="1" customHeight="1" x14ac:dyDescent="0.25">
      <c r="B1835" s="16">
        <v>43678.083333333336</v>
      </c>
      <c r="C1835" s="50" t="s">
        <v>1751</v>
      </c>
      <c r="D1835" s="34"/>
      <c r="E1835" s="37">
        <v>4160000</v>
      </c>
      <c r="F1835" s="37"/>
      <c r="G1835" s="37">
        <f t="shared" si="333"/>
        <v>4160000</v>
      </c>
      <c r="H1835" s="64"/>
      <c r="I1835" s="64"/>
      <c r="J1835" s="64">
        <v>35604.44</v>
      </c>
      <c r="K1835" s="18">
        <f t="shared" si="334"/>
        <v>4124395.56</v>
      </c>
      <c r="L1835" s="19">
        <f t="shared" si="335"/>
        <v>24959999.329999998</v>
      </c>
      <c r="M1835" s="20"/>
      <c r="N1835" s="20"/>
      <c r="O1835" s="81"/>
      <c r="P1835" s="85"/>
      <c r="Q1835" s="85"/>
      <c r="R1835" s="14"/>
      <c r="S1835" s="14"/>
    </row>
    <row r="1836" spans="2:19" ht="12.75" hidden="1" customHeight="1" x14ac:dyDescent="0.25">
      <c r="B1836" s="16">
        <v>43707.083333333336</v>
      </c>
      <c r="C1836" s="50" t="s">
        <v>1752</v>
      </c>
      <c r="D1836" s="34"/>
      <c r="E1836" s="37">
        <v>4160000</v>
      </c>
      <c r="F1836" s="37"/>
      <c r="G1836" s="37">
        <f t="shared" si="333"/>
        <v>4160000</v>
      </c>
      <c r="H1836" s="64"/>
      <c r="I1836" s="64"/>
      <c r="J1836" s="64">
        <v>35604.44</v>
      </c>
      <c r="K1836" s="18">
        <f t="shared" si="334"/>
        <v>4124395.56</v>
      </c>
      <c r="L1836" s="19">
        <f t="shared" si="335"/>
        <v>20799999.329999998</v>
      </c>
      <c r="M1836" s="20"/>
      <c r="N1836" s="20"/>
      <c r="O1836" s="81"/>
      <c r="P1836" s="85"/>
      <c r="Q1836" s="85"/>
      <c r="R1836" s="14"/>
      <c r="S1836" s="14"/>
    </row>
    <row r="1837" spans="2:19" ht="12.75" hidden="1" customHeight="1" x14ac:dyDescent="0.25">
      <c r="B1837" s="16">
        <v>43746</v>
      </c>
      <c r="C1837" s="50" t="s">
        <v>1753</v>
      </c>
      <c r="D1837" s="34"/>
      <c r="E1837" s="37">
        <v>4160000</v>
      </c>
      <c r="F1837" s="37"/>
      <c r="G1837" s="37">
        <f t="shared" si="333"/>
        <v>4160000</v>
      </c>
      <c r="H1837" s="64"/>
      <c r="I1837" s="64"/>
      <c r="J1837" s="64">
        <v>35604.44</v>
      </c>
      <c r="K1837" s="18">
        <f t="shared" si="334"/>
        <v>4124395.56</v>
      </c>
      <c r="L1837" s="19">
        <f t="shared" si="335"/>
        <v>16639999.329999998</v>
      </c>
      <c r="M1837" s="20"/>
      <c r="N1837" s="20"/>
      <c r="O1837" s="81"/>
      <c r="P1837" s="85"/>
      <c r="Q1837" s="85"/>
      <c r="R1837" s="14"/>
      <c r="S1837" s="14"/>
    </row>
    <row r="1838" spans="2:19" ht="12.75" hidden="1" customHeight="1" x14ac:dyDescent="0.25">
      <c r="B1838" s="16">
        <v>43777.125</v>
      </c>
      <c r="C1838" s="50" t="s">
        <v>1754</v>
      </c>
      <c r="D1838" s="34"/>
      <c r="E1838" s="37">
        <v>4160000</v>
      </c>
      <c r="F1838" s="37"/>
      <c r="G1838" s="37">
        <f t="shared" si="333"/>
        <v>4160000</v>
      </c>
      <c r="H1838" s="64"/>
      <c r="I1838" s="64"/>
      <c r="J1838" s="64">
        <v>35604.44</v>
      </c>
      <c r="K1838" s="18">
        <f t="shared" si="334"/>
        <v>4124395.56</v>
      </c>
      <c r="L1838" s="19">
        <f t="shared" si="335"/>
        <v>12479999.329999998</v>
      </c>
      <c r="M1838" s="20"/>
      <c r="N1838" s="20"/>
      <c r="O1838" s="81"/>
      <c r="P1838" s="85"/>
      <c r="Q1838" s="85"/>
      <c r="R1838" s="14"/>
      <c r="S1838" s="14"/>
    </row>
    <row r="1839" spans="2:19" ht="12.75" hidden="1" customHeight="1" x14ac:dyDescent="0.25">
      <c r="B1839" s="16">
        <v>43777.125</v>
      </c>
      <c r="C1839" s="50" t="s">
        <v>1755</v>
      </c>
      <c r="D1839" s="34"/>
      <c r="E1839" s="37">
        <v>4160000</v>
      </c>
      <c r="F1839" s="37"/>
      <c r="G1839" s="37">
        <f t="shared" si="333"/>
        <v>4160000</v>
      </c>
      <c r="H1839" s="64"/>
      <c r="I1839" s="64"/>
      <c r="J1839" s="64">
        <v>35604.44</v>
      </c>
      <c r="K1839" s="18">
        <f t="shared" si="334"/>
        <v>4124395.56</v>
      </c>
      <c r="L1839" s="19">
        <f t="shared" si="335"/>
        <v>8319999.3299999982</v>
      </c>
      <c r="M1839" s="20"/>
      <c r="N1839" s="20"/>
      <c r="O1839" s="81"/>
      <c r="P1839" s="85"/>
      <c r="Q1839" s="85"/>
      <c r="R1839" s="14"/>
      <c r="S1839" s="14"/>
    </row>
    <row r="1840" spans="2:19" ht="12.75" hidden="1" customHeight="1" x14ac:dyDescent="0.25">
      <c r="B1840" s="16">
        <v>43816.125</v>
      </c>
      <c r="C1840" s="50" t="s">
        <v>1756</v>
      </c>
      <c r="D1840" s="34"/>
      <c r="E1840" s="37">
        <v>4160000</v>
      </c>
      <c r="F1840" s="37"/>
      <c r="G1840" s="37">
        <f t="shared" si="333"/>
        <v>4160000</v>
      </c>
      <c r="H1840" s="64"/>
      <c r="I1840" s="64"/>
      <c r="J1840" s="64">
        <v>35604.44</v>
      </c>
      <c r="K1840" s="18">
        <f t="shared" si="334"/>
        <v>4124395.56</v>
      </c>
      <c r="L1840" s="19">
        <f t="shared" si="335"/>
        <v>4159999.3299999982</v>
      </c>
      <c r="M1840" s="20"/>
      <c r="N1840" s="20"/>
      <c r="O1840" s="81"/>
      <c r="P1840" s="85"/>
      <c r="Q1840" s="85"/>
      <c r="R1840" s="14"/>
      <c r="S1840" s="14"/>
    </row>
    <row r="1841" spans="2:19" ht="12.75" hidden="1" customHeight="1" x14ac:dyDescent="0.25">
      <c r="B1841" s="16">
        <v>43852.125</v>
      </c>
      <c r="C1841" s="50" t="s">
        <v>1757</v>
      </c>
      <c r="D1841" s="34"/>
      <c r="E1841" s="37">
        <v>4159999.33</v>
      </c>
      <c r="F1841" s="37"/>
      <c r="G1841" s="37">
        <f t="shared" si="333"/>
        <v>4159999.33</v>
      </c>
      <c r="H1841" s="64"/>
      <c r="I1841" s="64"/>
      <c r="J1841" s="64">
        <v>35604.44</v>
      </c>
      <c r="K1841" s="18">
        <f t="shared" si="334"/>
        <v>4124394.89</v>
      </c>
      <c r="L1841" s="19">
        <f t="shared" si="335"/>
        <v>0</v>
      </c>
      <c r="M1841" s="20"/>
      <c r="N1841" s="20"/>
      <c r="O1841" s="81"/>
      <c r="P1841" s="85"/>
      <c r="Q1841" s="85"/>
      <c r="R1841" s="14"/>
      <c r="S1841" s="14"/>
    </row>
    <row r="1842" spans="2:19" ht="15" hidden="1" x14ac:dyDescent="0.25">
      <c r="B1842" s="9" t="s">
        <v>1758</v>
      </c>
      <c r="C1842" s="10"/>
      <c r="D1842" s="11">
        <v>1600000000</v>
      </c>
      <c r="E1842" s="11">
        <f>+D1842</f>
        <v>1600000000</v>
      </c>
      <c r="F1842" s="11"/>
      <c r="G1842" s="11"/>
      <c r="H1842" s="11"/>
      <c r="I1842" s="11"/>
      <c r="J1842" s="11"/>
      <c r="K1842" s="11"/>
      <c r="L1842" s="11">
        <f>+D1842</f>
        <v>1600000000</v>
      </c>
      <c r="M1842" s="12"/>
      <c r="N1842" s="12"/>
      <c r="P1842" s="55"/>
      <c r="Q1842" s="55"/>
      <c r="R1842" s="14"/>
      <c r="S1842" s="14"/>
    </row>
    <row r="1843" spans="2:19" ht="12.75" hidden="1" customHeight="1" x14ac:dyDescent="0.25">
      <c r="B1843" s="16">
        <v>43607.083333333336</v>
      </c>
      <c r="C1843" s="50" t="s">
        <v>1759</v>
      </c>
      <c r="D1843" s="34"/>
      <c r="E1843" s="37">
        <v>640000000</v>
      </c>
      <c r="F1843" s="37"/>
      <c r="G1843" s="37">
        <f>+E1843</f>
        <v>640000000</v>
      </c>
      <c r="H1843" s="64"/>
      <c r="I1843" s="64"/>
      <c r="J1843" s="64"/>
      <c r="K1843" s="18">
        <f>+G1843-H1843-I1843-J1843</f>
        <v>640000000</v>
      </c>
      <c r="L1843" s="19">
        <f>+L1842-G1843</f>
        <v>960000000</v>
      </c>
      <c r="M1843" s="20"/>
      <c r="N1843" s="20"/>
      <c r="O1843" s="81">
        <f>+L1846-'[1]ANEXO 7 - PPTO VIG 2019'!T16</f>
        <v>0</v>
      </c>
      <c r="P1843" s="55"/>
      <c r="Q1843" s="55"/>
      <c r="R1843" s="14"/>
      <c r="S1843" s="14"/>
    </row>
    <row r="1844" spans="2:19" ht="12.75" hidden="1" customHeight="1" x14ac:dyDescent="0.25">
      <c r="B1844" s="16">
        <v>43706.083333333336</v>
      </c>
      <c r="C1844" s="50" t="s">
        <v>1760</v>
      </c>
      <c r="D1844" s="34"/>
      <c r="E1844" s="37">
        <v>400000000</v>
      </c>
      <c r="F1844" s="37"/>
      <c r="G1844" s="37">
        <f>+E1844</f>
        <v>400000000</v>
      </c>
      <c r="H1844" s="64"/>
      <c r="I1844" s="64"/>
      <c r="J1844" s="64"/>
      <c r="K1844" s="18">
        <f>+G1844-H1844-I1844-J1844</f>
        <v>400000000</v>
      </c>
      <c r="L1844" s="19">
        <f>+L1843-G1844</f>
        <v>560000000</v>
      </c>
      <c r="M1844" s="20"/>
      <c r="N1844" s="20"/>
      <c r="O1844" s="81"/>
      <c r="P1844" s="85"/>
      <c r="Q1844" s="85"/>
      <c r="R1844" s="14"/>
      <c r="S1844" s="14"/>
    </row>
    <row r="1845" spans="2:19" ht="12.75" hidden="1" customHeight="1" x14ac:dyDescent="0.25">
      <c r="B1845" s="89">
        <v>43754.083333333336</v>
      </c>
      <c r="C1845" s="90" t="s">
        <v>1761</v>
      </c>
      <c r="D1845" s="34"/>
      <c r="E1845" s="37">
        <v>400000000</v>
      </c>
      <c r="F1845" s="37"/>
      <c r="G1845" s="37">
        <f>+E1845</f>
        <v>400000000</v>
      </c>
      <c r="H1845" s="64"/>
      <c r="I1845" s="64"/>
      <c r="J1845" s="64"/>
      <c r="K1845" s="18">
        <f>+G1845-H1845-I1845-J1845</f>
        <v>400000000</v>
      </c>
      <c r="L1845" s="19">
        <f>+L1844-G1845</f>
        <v>160000000</v>
      </c>
      <c r="M1845" s="20"/>
      <c r="N1845" s="20"/>
      <c r="O1845" s="81"/>
      <c r="P1845" s="85"/>
      <c r="Q1845" s="85"/>
      <c r="R1845" s="14"/>
      <c r="S1845" s="14"/>
    </row>
    <row r="1846" spans="2:19" ht="12.75" hidden="1" customHeight="1" x14ac:dyDescent="0.25">
      <c r="B1846" s="89">
        <v>43833.125</v>
      </c>
      <c r="C1846" s="90" t="s">
        <v>1762</v>
      </c>
      <c r="D1846" s="34"/>
      <c r="E1846" s="37">
        <v>160000000</v>
      </c>
      <c r="F1846" s="37"/>
      <c r="G1846" s="37">
        <f>+E1846</f>
        <v>160000000</v>
      </c>
      <c r="H1846" s="64"/>
      <c r="I1846" s="64"/>
      <c r="J1846" s="64"/>
      <c r="K1846" s="18">
        <f>+G1846-H1846-I1846-J1846</f>
        <v>160000000</v>
      </c>
      <c r="L1846" s="19">
        <f>+L1845-G1846</f>
        <v>0</v>
      </c>
      <c r="M1846" s="20"/>
      <c r="N1846" s="20"/>
      <c r="O1846" s="81"/>
      <c r="P1846" s="85"/>
      <c r="Q1846" s="85"/>
      <c r="R1846" s="14"/>
      <c r="S1846" s="14"/>
    </row>
    <row r="1847" spans="2:19" ht="15" hidden="1" x14ac:dyDescent="0.25">
      <c r="B1847" s="9" t="s">
        <v>1763</v>
      </c>
      <c r="C1847" s="10"/>
      <c r="D1847" s="11">
        <v>1914062494</v>
      </c>
      <c r="E1847" s="11">
        <f>+D1847</f>
        <v>1914062494</v>
      </c>
      <c r="F1847" s="11"/>
      <c r="G1847" s="11"/>
      <c r="H1847" s="11"/>
      <c r="I1847" s="11"/>
      <c r="J1847" s="11"/>
      <c r="K1847" s="11"/>
      <c r="L1847" s="11">
        <f>+D1847</f>
        <v>1914062494</v>
      </c>
      <c r="M1847" s="12"/>
      <c r="N1847" s="12"/>
      <c r="P1847" s="55"/>
      <c r="Q1847" s="55"/>
      <c r="R1847" s="14"/>
      <c r="S1847" s="14"/>
    </row>
    <row r="1848" spans="2:19" ht="12.75" hidden="1" customHeight="1" x14ac:dyDescent="0.25">
      <c r="B1848" s="16">
        <v>43607.083333333336</v>
      </c>
      <c r="C1848" s="50" t="s">
        <v>1759</v>
      </c>
      <c r="D1848" s="34"/>
      <c r="E1848" s="37">
        <v>1914062494</v>
      </c>
      <c r="F1848" s="37"/>
      <c r="G1848" s="37">
        <f>+E1848</f>
        <v>1914062494</v>
      </c>
      <c r="H1848" s="64"/>
      <c r="I1848" s="64"/>
      <c r="J1848" s="64"/>
      <c r="K1848" s="18">
        <f>+G1848-H1848-I1848-J1848</f>
        <v>1914062494</v>
      </c>
      <c r="L1848" s="19">
        <f>+L1847-G1848</f>
        <v>0</v>
      </c>
      <c r="M1848" s="20"/>
      <c r="N1848" s="20"/>
      <c r="O1848" s="81">
        <f>+L1848-'[1]ANEXO 7 - PPTO VIG 2019'!T55</f>
        <v>0</v>
      </c>
      <c r="P1848" s="55"/>
      <c r="Q1848" s="55"/>
      <c r="R1848" s="14"/>
      <c r="S1848" s="14"/>
    </row>
    <row r="1849" spans="2:19" ht="15" hidden="1" x14ac:dyDescent="0.25">
      <c r="B1849" s="9" t="s">
        <v>1764</v>
      </c>
      <c r="C1849" s="10"/>
      <c r="D1849" s="11">
        <v>68240000</v>
      </c>
      <c r="E1849" s="11">
        <f>+D1849</f>
        <v>68240000</v>
      </c>
      <c r="F1849" s="11"/>
      <c r="G1849" s="11"/>
      <c r="H1849" s="11"/>
      <c r="I1849" s="11"/>
      <c r="J1849" s="11"/>
      <c r="K1849" s="11"/>
      <c r="L1849" s="11">
        <f>+D1849</f>
        <v>68240000</v>
      </c>
      <c r="M1849" s="12"/>
      <c r="N1849" s="12"/>
      <c r="P1849" s="55"/>
      <c r="Q1849" s="55"/>
      <c r="R1849" s="14"/>
      <c r="S1849" s="14"/>
    </row>
    <row r="1850" spans="2:19" ht="12.75" hidden="1" customHeight="1" x14ac:dyDescent="0.25">
      <c r="B1850" s="16">
        <v>43626.083333333336</v>
      </c>
      <c r="C1850" s="50" t="s">
        <v>1765</v>
      </c>
      <c r="D1850" s="34"/>
      <c r="E1850" s="37">
        <v>6066667</v>
      </c>
      <c r="F1850" s="37"/>
      <c r="G1850" s="37">
        <f t="shared" ref="G1850:G1861" si="336">+E1850</f>
        <v>6066667</v>
      </c>
      <c r="H1850" s="64"/>
      <c r="I1850" s="64">
        <v>110833.7</v>
      </c>
      <c r="J1850" s="64">
        <v>51923.15</v>
      </c>
      <c r="K1850" s="18">
        <f t="shared" ref="K1850:K1861" si="337">+G1850-H1850-I1850-J1850</f>
        <v>5903910.1499999994</v>
      </c>
      <c r="L1850" s="19">
        <f t="shared" ref="L1850:L1861" si="338">+L1849-G1850</f>
        <v>62173333</v>
      </c>
      <c r="M1850" s="20"/>
      <c r="N1850" s="20"/>
      <c r="O1850" s="81">
        <f>+L1862-'[1]ANEXO 7 - PPTO VIG 2019'!T38</f>
        <v>0</v>
      </c>
      <c r="P1850" s="55"/>
      <c r="Q1850" s="55"/>
      <c r="R1850" s="14"/>
      <c r="S1850" s="14"/>
    </row>
    <row r="1851" spans="2:19" ht="12.75" hidden="1" customHeight="1" x14ac:dyDescent="0.25">
      <c r="B1851" s="16">
        <v>43661.083333333336</v>
      </c>
      <c r="C1851" s="50" t="s">
        <v>1766</v>
      </c>
      <c r="D1851" s="34"/>
      <c r="E1851" s="37">
        <v>415480</v>
      </c>
      <c r="F1851" s="37"/>
      <c r="G1851" s="37">
        <f t="shared" si="336"/>
        <v>415480</v>
      </c>
      <c r="H1851" s="64"/>
      <c r="I1851" s="64"/>
      <c r="J1851" s="64">
        <v>4013.54</v>
      </c>
      <c r="K1851" s="18">
        <f t="shared" si="337"/>
        <v>411466.46</v>
      </c>
      <c r="L1851" s="19">
        <f t="shared" si="338"/>
        <v>61757853</v>
      </c>
      <c r="M1851" s="20"/>
      <c r="N1851" s="20"/>
      <c r="O1851" s="81"/>
      <c r="P1851" s="55"/>
      <c r="Q1851" s="55"/>
      <c r="R1851" s="14"/>
      <c r="S1851" s="14"/>
    </row>
    <row r="1852" spans="2:19" ht="12.75" hidden="1" customHeight="1" x14ac:dyDescent="0.25">
      <c r="B1852" s="16">
        <v>43661.083333333336</v>
      </c>
      <c r="C1852" s="50" t="s">
        <v>1767</v>
      </c>
      <c r="D1852" s="34"/>
      <c r="E1852" s="37">
        <v>7280000</v>
      </c>
      <c r="F1852" s="37"/>
      <c r="G1852" s="37">
        <f t="shared" si="336"/>
        <v>7280000</v>
      </c>
      <c r="H1852" s="64"/>
      <c r="I1852" s="64">
        <v>305938.95</v>
      </c>
      <c r="J1852" s="64">
        <v>62307.77</v>
      </c>
      <c r="K1852" s="18">
        <f t="shared" si="337"/>
        <v>6911753.2800000003</v>
      </c>
      <c r="L1852" s="19">
        <f t="shared" si="338"/>
        <v>54477853</v>
      </c>
      <c r="M1852" s="20"/>
      <c r="N1852" s="20"/>
      <c r="O1852" s="81"/>
      <c r="P1852" s="55"/>
      <c r="Q1852" s="55"/>
      <c r="R1852" s="14"/>
      <c r="S1852" s="14"/>
    </row>
    <row r="1853" spans="2:19" ht="12.75" hidden="1" customHeight="1" x14ac:dyDescent="0.25">
      <c r="B1853" s="16">
        <v>43693.083333333336</v>
      </c>
      <c r="C1853" s="50" t="s">
        <v>1768</v>
      </c>
      <c r="D1853" s="34"/>
      <c r="E1853" s="37">
        <v>7280000</v>
      </c>
      <c r="F1853" s="37"/>
      <c r="G1853" s="37">
        <f t="shared" si="336"/>
        <v>7280000</v>
      </c>
      <c r="H1853" s="64"/>
      <c r="I1853" s="64">
        <v>246733.03</v>
      </c>
      <c r="J1853" s="64">
        <v>62307.77</v>
      </c>
      <c r="K1853" s="18">
        <f t="shared" si="337"/>
        <v>6970959.2000000002</v>
      </c>
      <c r="L1853" s="19">
        <f t="shared" si="338"/>
        <v>47197853</v>
      </c>
      <c r="M1853" s="20"/>
      <c r="N1853" s="20"/>
      <c r="O1853" s="81"/>
      <c r="P1853" s="85"/>
      <c r="Q1853" s="85"/>
      <c r="R1853" s="14"/>
      <c r="S1853" s="14"/>
    </row>
    <row r="1854" spans="2:19" ht="12.75" hidden="1" customHeight="1" x14ac:dyDescent="0.25">
      <c r="B1854" s="16">
        <v>43710.083333333336</v>
      </c>
      <c r="C1854" s="50" t="s">
        <v>1769</v>
      </c>
      <c r="D1854" s="34"/>
      <c r="E1854" s="37">
        <v>7280000</v>
      </c>
      <c r="F1854" s="37"/>
      <c r="G1854" s="37">
        <f t="shared" si="336"/>
        <v>7280000</v>
      </c>
      <c r="H1854" s="64"/>
      <c r="I1854" s="64">
        <v>246733.03</v>
      </c>
      <c r="J1854" s="64">
        <v>62307.77</v>
      </c>
      <c r="K1854" s="18">
        <f t="shared" si="337"/>
        <v>6970959.2000000002</v>
      </c>
      <c r="L1854" s="19">
        <f t="shared" si="338"/>
        <v>39917853</v>
      </c>
      <c r="M1854" s="20"/>
      <c r="N1854" s="20"/>
      <c r="O1854" s="81"/>
      <c r="P1854" s="85"/>
      <c r="Q1854" s="85"/>
      <c r="R1854" s="14"/>
      <c r="S1854" s="14"/>
    </row>
    <row r="1855" spans="2:19" ht="12.75" hidden="1" customHeight="1" x14ac:dyDescent="0.25">
      <c r="B1855" s="16">
        <v>43745.083333333336</v>
      </c>
      <c r="C1855" s="50" t="s">
        <v>1770</v>
      </c>
      <c r="D1855" s="34"/>
      <c r="E1855" s="37">
        <v>7280000</v>
      </c>
      <c r="F1855" s="37"/>
      <c r="G1855" s="37">
        <f t="shared" si="336"/>
        <v>7280000</v>
      </c>
      <c r="H1855" s="64"/>
      <c r="I1855" s="64">
        <v>246733.03</v>
      </c>
      <c r="J1855" s="64">
        <v>62307.77</v>
      </c>
      <c r="K1855" s="18">
        <f t="shared" si="337"/>
        <v>6970959.2000000002</v>
      </c>
      <c r="L1855" s="19">
        <f t="shared" si="338"/>
        <v>32637853</v>
      </c>
      <c r="M1855" s="20"/>
      <c r="N1855" s="20"/>
      <c r="O1855" s="81"/>
      <c r="P1855" s="85"/>
      <c r="Q1855" s="85"/>
      <c r="R1855" s="14"/>
      <c r="S1855" s="14"/>
    </row>
    <row r="1856" spans="2:19" ht="12.75" hidden="1" customHeight="1" x14ac:dyDescent="0.25">
      <c r="B1856" s="16">
        <v>43747.083333333336</v>
      </c>
      <c r="C1856" s="50" t="s">
        <v>1771</v>
      </c>
      <c r="D1856" s="34"/>
      <c r="E1856" s="37">
        <v>1027962</v>
      </c>
      <c r="F1856" s="37"/>
      <c r="G1856" s="37">
        <f t="shared" si="336"/>
        <v>1027962</v>
      </c>
      <c r="H1856" s="64"/>
      <c r="I1856" s="64">
        <v>62055.91</v>
      </c>
      <c r="J1856" s="64">
        <v>4206.74</v>
      </c>
      <c r="K1856" s="18">
        <f t="shared" si="337"/>
        <v>961699.35</v>
      </c>
      <c r="L1856" s="19">
        <f t="shared" si="338"/>
        <v>31609891</v>
      </c>
      <c r="M1856" s="20"/>
      <c r="N1856" s="20"/>
      <c r="O1856" s="81"/>
      <c r="P1856" s="85"/>
      <c r="Q1856" s="85"/>
      <c r="R1856" s="14"/>
      <c r="S1856" s="14"/>
    </row>
    <row r="1857" spans="2:19" ht="12.75" hidden="1" customHeight="1" x14ac:dyDescent="0.25">
      <c r="B1857" s="16">
        <v>43770.083333333336</v>
      </c>
      <c r="C1857" s="90" t="s">
        <v>1772</v>
      </c>
      <c r="D1857" s="34"/>
      <c r="E1857" s="37">
        <v>7280000</v>
      </c>
      <c r="F1857" s="37"/>
      <c r="G1857" s="37">
        <f t="shared" si="336"/>
        <v>7280000</v>
      </c>
      <c r="H1857" s="64"/>
      <c r="I1857" s="64">
        <v>246733.03</v>
      </c>
      <c r="J1857" s="64">
        <v>62307.77</v>
      </c>
      <c r="K1857" s="18">
        <f t="shared" si="337"/>
        <v>6970959.2000000002</v>
      </c>
      <c r="L1857" s="19">
        <f t="shared" si="338"/>
        <v>24329891</v>
      </c>
      <c r="M1857" s="20"/>
      <c r="N1857" s="20"/>
      <c r="O1857" s="81"/>
      <c r="P1857" s="85"/>
      <c r="Q1857" s="85"/>
      <c r="R1857" s="14"/>
      <c r="S1857" s="14"/>
    </row>
    <row r="1858" spans="2:19" ht="12.75" hidden="1" customHeight="1" x14ac:dyDescent="0.25">
      <c r="B1858" s="16">
        <v>43781.125</v>
      </c>
      <c r="C1858" s="90" t="s">
        <v>1773</v>
      </c>
      <c r="D1858" s="34"/>
      <c r="E1858" s="37">
        <v>1031340</v>
      </c>
      <c r="F1858" s="37"/>
      <c r="G1858" s="37">
        <f t="shared" si="336"/>
        <v>1031340</v>
      </c>
      <c r="H1858" s="64"/>
      <c r="I1858" s="64">
        <v>55215.93</v>
      </c>
      <c r="J1858" s="64">
        <v>3743.06</v>
      </c>
      <c r="K1858" s="18">
        <f t="shared" si="337"/>
        <v>972381.00999999989</v>
      </c>
      <c r="L1858" s="19">
        <f t="shared" si="338"/>
        <v>23298551</v>
      </c>
      <c r="M1858" s="20"/>
      <c r="N1858" s="20"/>
      <c r="O1858" s="81"/>
      <c r="P1858" s="85"/>
      <c r="Q1858" s="85"/>
      <c r="R1858" s="14"/>
      <c r="S1858" s="14"/>
    </row>
    <row r="1859" spans="2:19" ht="12.75" hidden="1" customHeight="1" x14ac:dyDescent="0.25">
      <c r="B1859" s="16">
        <v>43802.125</v>
      </c>
      <c r="C1859" s="90" t="s">
        <v>1774</v>
      </c>
      <c r="D1859" s="34"/>
      <c r="E1859" s="37">
        <v>7280000</v>
      </c>
      <c r="F1859" s="37"/>
      <c r="G1859" s="37">
        <f t="shared" si="336"/>
        <v>7280000</v>
      </c>
      <c r="H1859" s="64"/>
      <c r="I1859" s="64">
        <v>246733.03</v>
      </c>
      <c r="J1859" s="64">
        <v>62307.77</v>
      </c>
      <c r="K1859" s="18">
        <f t="shared" si="337"/>
        <v>6970959.2000000002</v>
      </c>
      <c r="L1859" s="19">
        <f t="shared" si="338"/>
        <v>16018551</v>
      </c>
      <c r="M1859" s="20"/>
      <c r="N1859" s="20"/>
      <c r="O1859" s="81"/>
      <c r="P1859" s="85"/>
      <c r="Q1859" s="85"/>
      <c r="R1859" s="14"/>
      <c r="S1859" s="14"/>
    </row>
    <row r="1860" spans="2:19" ht="12.75" hidden="1" customHeight="1" x14ac:dyDescent="0.25">
      <c r="B1860" s="16">
        <v>43808.125</v>
      </c>
      <c r="C1860" s="90" t="s">
        <v>1775</v>
      </c>
      <c r="D1860" s="34"/>
      <c r="E1860" s="37">
        <v>2221260</v>
      </c>
      <c r="F1860" s="37"/>
      <c r="G1860" s="37">
        <f t="shared" si="336"/>
        <v>2221260</v>
      </c>
      <c r="H1860" s="64"/>
      <c r="I1860" s="64">
        <v>154287.57999999999</v>
      </c>
      <c r="J1860" s="64">
        <v>9981.48</v>
      </c>
      <c r="K1860" s="18">
        <f t="shared" si="337"/>
        <v>2056990.94</v>
      </c>
      <c r="L1860" s="19">
        <f t="shared" si="338"/>
        <v>13797291</v>
      </c>
      <c r="M1860" s="20"/>
      <c r="N1860" s="20"/>
      <c r="O1860" s="81"/>
      <c r="P1860" s="85"/>
      <c r="Q1860" s="85"/>
      <c r="R1860" s="14"/>
      <c r="S1860" s="14"/>
    </row>
    <row r="1861" spans="2:19" ht="12.75" hidden="1" customHeight="1" x14ac:dyDescent="0.25">
      <c r="B1861" s="16">
        <v>43823.125</v>
      </c>
      <c r="C1861" s="90" t="s">
        <v>1776</v>
      </c>
      <c r="D1861" s="34"/>
      <c r="E1861" s="37">
        <v>7280000</v>
      </c>
      <c r="F1861" s="37"/>
      <c r="G1861" s="37">
        <f t="shared" si="336"/>
        <v>7280000</v>
      </c>
      <c r="H1861" s="64"/>
      <c r="I1861" s="64">
        <v>246733.03</v>
      </c>
      <c r="J1861" s="64">
        <v>62307.77</v>
      </c>
      <c r="K1861" s="18">
        <f t="shared" si="337"/>
        <v>6970959.2000000002</v>
      </c>
      <c r="L1861" s="19">
        <f t="shared" si="338"/>
        <v>6517291</v>
      </c>
      <c r="M1861" s="20"/>
      <c r="N1861" s="20"/>
      <c r="O1861" s="81"/>
      <c r="P1861" s="85"/>
      <c r="Q1861" s="85"/>
      <c r="R1861" s="14"/>
      <c r="S1861" s="14"/>
    </row>
    <row r="1862" spans="2:19" ht="12.75" hidden="1" customHeight="1" x14ac:dyDescent="0.25">
      <c r="B1862" s="16"/>
      <c r="C1862" s="90" t="s">
        <v>654</v>
      </c>
      <c r="D1862" s="34"/>
      <c r="E1862" s="37">
        <v>6517291</v>
      </c>
      <c r="F1862" s="37"/>
      <c r="G1862" s="37"/>
      <c r="H1862" s="64"/>
      <c r="I1862" s="64"/>
      <c r="J1862" s="64"/>
      <c r="K1862" s="18"/>
      <c r="L1862" s="19">
        <f>+L1861-E1862</f>
        <v>0</v>
      </c>
      <c r="M1862" s="20"/>
      <c r="N1862" s="20"/>
      <c r="O1862" s="81"/>
      <c r="P1862" s="85"/>
      <c r="Q1862" s="85"/>
      <c r="R1862" s="14"/>
      <c r="S1862" s="14"/>
    </row>
    <row r="1863" spans="2:19" ht="15" hidden="1" x14ac:dyDescent="0.25">
      <c r="B1863" s="9" t="s">
        <v>1777</v>
      </c>
      <c r="C1863" s="10"/>
      <c r="D1863" s="11">
        <v>68666667</v>
      </c>
      <c r="E1863" s="11">
        <f>+D1863</f>
        <v>68666667</v>
      </c>
      <c r="F1863" s="11"/>
      <c r="G1863" s="11"/>
      <c r="H1863" s="11"/>
      <c r="I1863" s="11"/>
      <c r="J1863" s="11"/>
      <c r="K1863" s="11"/>
      <c r="L1863" s="11">
        <f>+D1863</f>
        <v>68666667</v>
      </c>
      <c r="M1863" s="12"/>
      <c r="N1863" s="12"/>
      <c r="P1863" s="55"/>
      <c r="Q1863" s="55"/>
      <c r="R1863" s="14"/>
      <c r="S1863" s="14"/>
    </row>
    <row r="1864" spans="2:19" ht="12.75" hidden="1" customHeight="1" x14ac:dyDescent="0.25">
      <c r="B1864" s="16">
        <v>43633.083333333336</v>
      </c>
      <c r="C1864" s="50" t="s">
        <v>1778</v>
      </c>
      <c r="D1864" s="34"/>
      <c r="E1864" s="37">
        <v>485333.33</v>
      </c>
      <c r="F1864" s="37"/>
      <c r="G1864" s="37">
        <f t="shared" ref="G1864:G1874" si="339">+E1864</f>
        <v>485333.33</v>
      </c>
      <c r="H1864" s="64"/>
      <c r="I1864" s="64"/>
      <c r="J1864" s="64">
        <v>4153.8500000000004</v>
      </c>
      <c r="K1864" s="18">
        <f t="shared" ref="K1864:K1874" si="340">+G1864-H1864-I1864-J1864</f>
        <v>481179.48000000004</v>
      </c>
      <c r="L1864" s="19">
        <f t="shared" ref="L1864:L1874" si="341">+L1863-G1864</f>
        <v>68181333.670000002</v>
      </c>
      <c r="M1864" s="20"/>
      <c r="N1864" s="20"/>
      <c r="O1864" s="81">
        <f>+L1875-'[1]ANEXO 7 - PPTO VIG 2019'!T32</f>
        <v>-1.862645149230957E-9</v>
      </c>
      <c r="P1864" s="55"/>
      <c r="Q1864" s="55"/>
      <c r="R1864" s="14"/>
      <c r="S1864" s="14"/>
    </row>
    <row r="1865" spans="2:19" ht="12.75" hidden="1" customHeight="1" x14ac:dyDescent="0.25">
      <c r="B1865" s="16">
        <v>43633.083333333336</v>
      </c>
      <c r="C1865" s="50" t="s">
        <v>1779</v>
      </c>
      <c r="D1865" s="34"/>
      <c r="E1865" s="37">
        <v>7280000</v>
      </c>
      <c r="F1865" s="37"/>
      <c r="G1865" s="37">
        <f t="shared" si="339"/>
        <v>7280000</v>
      </c>
      <c r="H1865" s="64"/>
      <c r="I1865" s="64">
        <v>350473.05</v>
      </c>
      <c r="J1865" s="64">
        <v>62307.77</v>
      </c>
      <c r="K1865" s="18">
        <f t="shared" si="340"/>
        <v>6867219.1800000006</v>
      </c>
      <c r="L1865" s="19">
        <f t="shared" si="341"/>
        <v>60901333.670000002</v>
      </c>
      <c r="M1865" s="20"/>
      <c r="N1865" s="20"/>
      <c r="O1865" s="81"/>
      <c r="P1865" s="55"/>
      <c r="Q1865" s="55"/>
      <c r="R1865" s="14"/>
      <c r="S1865" s="14"/>
    </row>
    <row r="1866" spans="2:19" ht="12.75" hidden="1" customHeight="1" x14ac:dyDescent="0.25">
      <c r="B1866" s="16">
        <v>43662.083333333336</v>
      </c>
      <c r="C1866" s="50" t="s">
        <v>1780</v>
      </c>
      <c r="D1866" s="34"/>
      <c r="E1866" s="37">
        <v>7280000</v>
      </c>
      <c r="F1866" s="37"/>
      <c r="G1866" s="37">
        <f t="shared" si="339"/>
        <v>7280000</v>
      </c>
      <c r="H1866" s="64"/>
      <c r="I1866" s="64">
        <v>246733.03</v>
      </c>
      <c r="J1866" s="64">
        <v>62307.77</v>
      </c>
      <c r="K1866" s="18">
        <f t="shared" si="340"/>
        <v>6970959.2000000002</v>
      </c>
      <c r="L1866" s="19">
        <f t="shared" si="341"/>
        <v>53621333.670000002</v>
      </c>
      <c r="M1866" s="20"/>
      <c r="N1866" s="20"/>
      <c r="O1866" s="81"/>
      <c r="P1866" s="55"/>
      <c r="Q1866" s="55"/>
      <c r="R1866" s="14"/>
      <c r="S1866" s="14"/>
    </row>
    <row r="1867" spans="2:19" ht="12.75" hidden="1" customHeight="1" x14ac:dyDescent="0.25">
      <c r="B1867" s="16">
        <v>43692.083333333336</v>
      </c>
      <c r="C1867" s="50" t="s">
        <v>1781</v>
      </c>
      <c r="D1867" s="34"/>
      <c r="E1867" s="37">
        <v>7280000</v>
      </c>
      <c r="F1867" s="37"/>
      <c r="G1867" s="37">
        <f t="shared" si="339"/>
        <v>7280000</v>
      </c>
      <c r="H1867" s="64"/>
      <c r="I1867" s="64">
        <v>246733.03</v>
      </c>
      <c r="J1867" s="64">
        <v>62307.77</v>
      </c>
      <c r="K1867" s="18">
        <f t="shared" si="340"/>
        <v>6970959.2000000002</v>
      </c>
      <c r="L1867" s="19">
        <f t="shared" si="341"/>
        <v>46341333.670000002</v>
      </c>
      <c r="M1867" s="20"/>
      <c r="N1867" s="20"/>
      <c r="O1867" s="81"/>
      <c r="P1867" s="85"/>
      <c r="Q1867" s="85"/>
      <c r="R1867" s="14"/>
      <c r="S1867" s="14"/>
    </row>
    <row r="1868" spans="2:19" ht="12.75" hidden="1" customHeight="1" x14ac:dyDescent="0.25">
      <c r="B1868" s="16">
        <v>43707.083333333336</v>
      </c>
      <c r="C1868" s="50" t="s">
        <v>1782</v>
      </c>
      <c r="D1868" s="34"/>
      <c r="E1868" s="37">
        <v>7280000</v>
      </c>
      <c r="F1868" s="37"/>
      <c r="G1868" s="37">
        <f t="shared" si="339"/>
        <v>7280000</v>
      </c>
      <c r="H1868" s="64"/>
      <c r="I1868" s="64">
        <v>246733.03</v>
      </c>
      <c r="J1868" s="64">
        <v>62307.77</v>
      </c>
      <c r="K1868" s="18">
        <f t="shared" si="340"/>
        <v>6970959.2000000002</v>
      </c>
      <c r="L1868" s="19">
        <f t="shared" si="341"/>
        <v>39061333.670000002</v>
      </c>
      <c r="M1868" s="20"/>
      <c r="N1868" s="20"/>
      <c r="O1868" s="81"/>
      <c r="P1868" s="85"/>
      <c r="Q1868" s="85"/>
      <c r="R1868" s="14"/>
      <c r="S1868" s="14"/>
    </row>
    <row r="1869" spans="2:19" ht="12.75" hidden="1" customHeight="1" x14ac:dyDescent="0.25">
      <c r="B1869" s="16">
        <v>43754</v>
      </c>
      <c r="C1869" s="50" t="s">
        <v>1783</v>
      </c>
      <c r="D1869" s="34"/>
      <c r="E1869" s="37">
        <v>7280000</v>
      </c>
      <c r="F1869" s="37"/>
      <c r="G1869" s="37">
        <f t="shared" si="339"/>
        <v>7280000</v>
      </c>
      <c r="H1869" s="64"/>
      <c r="I1869" s="64">
        <v>246733.03</v>
      </c>
      <c r="J1869" s="64">
        <v>62307.77</v>
      </c>
      <c r="K1869" s="18">
        <f t="shared" si="340"/>
        <v>6970959.2000000002</v>
      </c>
      <c r="L1869" s="19">
        <f t="shared" si="341"/>
        <v>31781333.670000002</v>
      </c>
      <c r="M1869" s="20"/>
      <c r="N1869" s="20"/>
      <c r="O1869" s="81"/>
      <c r="P1869" s="85"/>
      <c r="Q1869" s="85"/>
      <c r="R1869" s="14"/>
      <c r="S1869" s="14"/>
    </row>
    <row r="1870" spans="2:19" ht="12.75" hidden="1" customHeight="1" x14ac:dyDescent="0.25">
      <c r="B1870" s="16">
        <v>43782.125</v>
      </c>
      <c r="C1870" s="50" t="s">
        <v>1784</v>
      </c>
      <c r="D1870" s="34"/>
      <c r="E1870" s="37">
        <v>7280000</v>
      </c>
      <c r="F1870" s="37"/>
      <c r="G1870" s="37">
        <f t="shared" si="339"/>
        <v>7280000</v>
      </c>
      <c r="H1870" s="64"/>
      <c r="I1870" s="64">
        <v>246733.03</v>
      </c>
      <c r="J1870" s="64">
        <v>62307.77</v>
      </c>
      <c r="K1870" s="18">
        <f t="shared" si="340"/>
        <v>6970959.2000000002</v>
      </c>
      <c r="L1870" s="19">
        <f t="shared" si="341"/>
        <v>24501333.670000002</v>
      </c>
      <c r="M1870" s="20"/>
      <c r="N1870" s="20"/>
      <c r="O1870" s="81"/>
      <c r="P1870" s="85"/>
      <c r="Q1870" s="85"/>
      <c r="R1870" s="14"/>
      <c r="S1870" s="14"/>
    </row>
    <row r="1871" spans="2:19" ht="12.75" hidden="1" customHeight="1" x14ac:dyDescent="0.25">
      <c r="B1871" s="16">
        <v>43783.125</v>
      </c>
      <c r="C1871" s="50" t="s">
        <v>1785</v>
      </c>
      <c r="D1871" s="34"/>
      <c r="E1871" s="37">
        <v>855760</v>
      </c>
      <c r="F1871" s="37"/>
      <c r="G1871" s="37">
        <f t="shared" si="339"/>
        <v>855760</v>
      </c>
      <c r="H1871" s="64"/>
      <c r="I1871" s="64">
        <v>78728.399999999994</v>
      </c>
      <c r="J1871" s="64">
        <v>5336.96</v>
      </c>
      <c r="K1871" s="18">
        <f t="shared" si="340"/>
        <v>771694.64</v>
      </c>
      <c r="L1871" s="19">
        <f t="shared" si="341"/>
        <v>23645573.670000002</v>
      </c>
      <c r="M1871" s="20"/>
      <c r="N1871" s="20"/>
      <c r="O1871" s="81"/>
      <c r="P1871" s="85"/>
      <c r="Q1871" s="85"/>
      <c r="R1871" s="14"/>
      <c r="S1871" s="14"/>
    </row>
    <row r="1872" spans="2:19" ht="12.75" hidden="1" customHeight="1" x14ac:dyDescent="0.25">
      <c r="B1872" s="16">
        <v>43815.125</v>
      </c>
      <c r="C1872" s="50" t="s">
        <v>1786</v>
      </c>
      <c r="D1872" s="34"/>
      <c r="E1872" s="37">
        <v>7280000</v>
      </c>
      <c r="F1872" s="37"/>
      <c r="G1872" s="37">
        <f t="shared" si="339"/>
        <v>7280000</v>
      </c>
      <c r="H1872" s="64"/>
      <c r="I1872" s="64">
        <v>246733.03</v>
      </c>
      <c r="J1872" s="64">
        <v>62307.77</v>
      </c>
      <c r="K1872" s="18">
        <f t="shared" si="340"/>
        <v>6970959.2000000002</v>
      </c>
      <c r="L1872" s="19">
        <f t="shared" si="341"/>
        <v>16365573.670000002</v>
      </c>
      <c r="M1872" s="20"/>
      <c r="N1872" s="20"/>
      <c r="O1872" s="81"/>
      <c r="P1872" s="85"/>
      <c r="Q1872" s="85"/>
      <c r="R1872" s="14"/>
      <c r="S1872" s="14"/>
    </row>
    <row r="1873" spans="2:19" ht="12.75" hidden="1" customHeight="1" x14ac:dyDescent="0.25">
      <c r="B1873" s="16">
        <v>43825.125</v>
      </c>
      <c r="C1873" s="50" t="s">
        <v>1787</v>
      </c>
      <c r="D1873" s="34"/>
      <c r="E1873" s="37">
        <v>7280000</v>
      </c>
      <c r="F1873" s="37"/>
      <c r="G1873" s="37">
        <f t="shared" si="339"/>
        <v>7280000</v>
      </c>
      <c r="H1873" s="64"/>
      <c r="I1873" s="64">
        <v>246733.03</v>
      </c>
      <c r="J1873" s="64">
        <v>62307.77</v>
      </c>
      <c r="K1873" s="18">
        <f t="shared" si="340"/>
        <v>6970959.2000000002</v>
      </c>
      <c r="L1873" s="19">
        <f t="shared" si="341"/>
        <v>9085573.6700000018</v>
      </c>
      <c r="M1873" s="20"/>
      <c r="N1873" s="20"/>
      <c r="O1873" s="81"/>
      <c r="P1873" s="85"/>
      <c r="Q1873" s="85"/>
      <c r="R1873" s="14"/>
      <c r="S1873" s="14"/>
    </row>
    <row r="1874" spans="2:19" ht="12.75" hidden="1" customHeight="1" x14ac:dyDescent="0.25">
      <c r="B1874" s="16">
        <v>43826.125</v>
      </c>
      <c r="C1874" s="50" t="s">
        <v>1788</v>
      </c>
      <c r="D1874" s="34"/>
      <c r="E1874" s="37">
        <v>387480</v>
      </c>
      <c r="F1874" s="37"/>
      <c r="G1874" s="37">
        <f t="shared" si="339"/>
        <v>387480</v>
      </c>
      <c r="H1874" s="64"/>
      <c r="I1874" s="64">
        <v>55215.93</v>
      </c>
      <c r="J1874" s="64">
        <v>3743.06</v>
      </c>
      <c r="K1874" s="18">
        <f t="shared" si="340"/>
        <v>328521.01</v>
      </c>
      <c r="L1874" s="19">
        <f t="shared" si="341"/>
        <v>8698093.6700000018</v>
      </c>
      <c r="M1874" s="20"/>
      <c r="N1874" s="20"/>
      <c r="O1874" s="81"/>
      <c r="P1874" s="85"/>
      <c r="Q1874" s="85"/>
      <c r="R1874" s="14"/>
      <c r="S1874" s="14"/>
    </row>
    <row r="1875" spans="2:19" ht="12.75" hidden="1" customHeight="1" x14ac:dyDescent="0.25">
      <c r="B1875" s="16"/>
      <c r="C1875" s="50" t="s">
        <v>654</v>
      </c>
      <c r="D1875" s="34"/>
      <c r="E1875" s="37">
        <v>8698093.6699999999</v>
      </c>
      <c r="F1875" s="37"/>
      <c r="G1875" s="37"/>
      <c r="H1875" s="64"/>
      <c r="I1875" s="64"/>
      <c r="J1875" s="64"/>
      <c r="K1875" s="18"/>
      <c r="L1875" s="19">
        <f>+L1874-E1875</f>
        <v>0</v>
      </c>
      <c r="M1875" s="20"/>
      <c r="N1875" s="20"/>
      <c r="O1875" s="81"/>
      <c r="P1875" s="85"/>
      <c r="Q1875" s="85"/>
      <c r="R1875" s="14"/>
      <c r="S1875" s="14"/>
    </row>
    <row r="1876" spans="2:19" ht="15" hidden="1" x14ac:dyDescent="0.25">
      <c r="B1876" s="9" t="s">
        <v>1789</v>
      </c>
      <c r="C1876" s="10"/>
      <c r="D1876" s="11">
        <v>70000000</v>
      </c>
      <c r="E1876" s="11">
        <f>+D1876</f>
        <v>70000000</v>
      </c>
      <c r="F1876" s="11"/>
      <c r="G1876" s="11"/>
      <c r="H1876" s="11"/>
      <c r="I1876" s="11"/>
      <c r="J1876" s="11"/>
      <c r="K1876" s="11"/>
      <c r="L1876" s="11">
        <f>+D1876</f>
        <v>70000000</v>
      </c>
      <c r="M1876" s="12"/>
      <c r="N1876" s="12"/>
      <c r="P1876" s="55"/>
      <c r="Q1876" s="55"/>
      <c r="R1876" s="14"/>
      <c r="S1876" s="14"/>
    </row>
    <row r="1877" spans="2:19" ht="12.75" hidden="1" customHeight="1" x14ac:dyDescent="0.25">
      <c r="B1877" s="16">
        <v>43633.083333333336</v>
      </c>
      <c r="C1877" s="50" t="s">
        <v>1790</v>
      </c>
      <c r="D1877" s="34"/>
      <c r="E1877" s="37">
        <v>7250000</v>
      </c>
      <c r="F1877" s="37"/>
      <c r="G1877" s="37">
        <f t="shared" ref="G1877:G1887" si="342">+E1877</f>
        <v>7250000</v>
      </c>
      <c r="H1877" s="64"/>
      <c r="I1877" s="64">
        <v>243315.9</v>
      </c>
      <c r="J1877" s="64">
        <v>62051.01</v>
      </c>
      <c r="K1877" s="18">
        <f t="shared" ref="K1877:K1887" si="343">+G1877-H1877-I1877-J1877</f>
        <v>6944633.0899999999</v>
      </c>
      <c r="L1877" s="19">
        <f t="shared" ref="L1877:L1887" si="344">+L1876-G1877</f>
        <v>62750000</v>
      </c>
      <c r="M1877" s="20"/>
      <c r="N1877" s="20"/>
      <c r="O1877" s="81">
        <f>+L1888-'[1]ANEXO 7 - PPTO VIG 2019'!T39</f>
        <v>0</v>
      </c>
      <c r="P1877" s="55"/>
      <c r="Q1877" s="55"/>
      <c r="R1877" s="14"/>
      <c r="S1877" s="14"/>
    </row>
    <row r="1878" spans="2:19" ht="12.75" hidden="1" customHeight="1" x14ac:dyDescent="0.25">
      <c r="B1878" s="16">
        <v>43661.083333333336</v>
      </c>
      <c r="C1878" s="50" t="s">
        <v>1791</v>
      </c>
      <c r="D1878" s="34"/>
      <c r="E1878" s="37">
        <v>7500000</v>
      </c>
      <c r="F1878" s="37"/>
      <c r="G1878" s="37">
        <f t="shared" si="342"/>
        <v>7500000</v>
      </c>
      <c r="H1878" s="64"/>
      <c r="I1878" s="64">
        <v>271317.17</v>
      </c>
      <c r="J1878" s="64">
        <v>64190.7</v>
      </c>
      <c r="K1878" s="18">
        <f t="shared" si="343"/>
        <v>7164492.1299999999</v>
      </c>
      <c r="L1878" s="19">
        <f t="shared" si="344"/>
        <v>55250000</v>
      </c>
      <c r="M1878" s="20"/>
      <c r="N1878" s="20"/>
      <c r="O1878" s="81"/>
      <c r="P1878" s="55"/>
      <c r="Q1878" s="55"/>
      <c r="R1878" s="14"/>
      <c r="S1878" s="14"/>
    </row>
    <row r="1879" spans="2:19" ht="12.75" hidden="1" customHeight="1" x14ac:dyDescent="0.25">
      <c r="B1879" s="16">
        <v>43699.083333333336</v>
      </c>
      <c r="C1879" s="50" t="s">
        <v>1792</v>
      </c>
      <c r="D1879" s="34"/>
      <c r="E1879" s="37">
        <v>7500000</v>
      </c>
      <c r="F1879" s="37"/>
      <c r="G1879" s="37">
        <f t="shared" si="342"/>
        <v>7500000</v>
      </c>
      <c r="H1879" s="64"/>
      <c r="I1879" s="64">
        <v>271317.17</v>
      </c>
      <c r="J1879" s="64">
        <v>64190.7</v>
      </c>
      <c r="K1879" s="18">
        <f t="shared" si="343"/>
        <v>7164492.1299999999</v>
      </c>
      <c r="L1879" s="19">
        <f t="shared" si="344"/>
        <v>47750000</v>
      </c>
      <c r="M1879" s="20"/>
      <c r="N1879" s="20"/>
      <c r="O1879" s="81"/>
      <c r="P1879" s="85"/>
      <c r="Q1879" s="85"/>
      <c r="R1879" s="14"/>
      <c r="S1879" s="14"/>
    </row>
    <row r="1880" spans="2:19" ht="12.75" hidden="1" customHeight="1" x14ac:dyDescent="0.25">
      <c r="B1880" s="16">
        <v>43707.083333333336</v>
      </c>
      <c r="C1880" s="50" t="s">
        <v>1793</v>
      </c>
      <c r="D1880" s="34"/>
      <c r="E1880" s="37">
        <v>7500000</v>
      </c>
      <c r="F1880" s="37"/>
      <c r="G1880" s="37">
        <f t="shared" si="342"/>
        <v>7500000</v>
      </c>
      <c r="H1880" s="64"/>
      <c r="I1880" s="64">
        <v>377761.02</v>
      </c>
      <c r="J1880" s="64">
        <v>64190.7</v>
      </c>
      <c r="K1880" s="18">
        <f t="shared" si="343"/>
        <v>7058048.2800000003</v>
      </c>
      <c r="L1880" s="19">
        <f t="shared" si="344"/>
        <v>40250000</v>
      </c>
      <c r="M1880" s="20"/>
      <c r="N1880" s="20"/>
      <c r="O1880" s="81"/>
      <c r="P1880" s="85"/>
      <c r="Q1880" s="85"/>
      <c r="R1880" s="14"/>
      <c r="S1880" s="14"/>
    </row>
    <row r="1881" spans="2:19" ht="12.75" hidden="1" customHeight="1" x14ac:dyDescent="0.25">
      <c r="B1881" s="16">
        <v>43763.083333333336</v>
      </c>
      <c r="C1881" s="50" t="s">
        <v>1794</v>
      </c>
      <c r="D1881" s="34"/>
      <c r="E1881" s="37">
        <v>7500000</v>
      </c>
      <c r="F1881" s="37"/>
      <c r="G1881" s="37">
        <f t="shared" si="342"/>
        <v>7500000</v>
      </c>
      <c r="H1881" s="64"/>
      <c r="I1881" s="64">
        <v>271317.17</v>
      </c>
      <c r="J1881" s="64">
        <v>64190.7</v>
      </c>
      <c r="K1881" s="18">
        <f t="shared" si="343"/>
        <v>7164492.1299999999</v>
      </c>
      <c r="L1881" s="19">
        <f t="shared" si="344"/>
        <v>32750000</v>
      </c>
      <c r="M1881" s="20"/>
      <c r="N1881" s="20"/>
      <c r="O1881" s="81"/>
      <c r="P1881" s="85"/>
      <c r="Q1881" s="85"/>
      <c r="R1881" s="14"/>
      <c r="S1881" s="14"/>
    </row>
    <row r="1882" spans="2:19" ht="12.75" hidden="1" customHeight="1" x14ac:dyDescent="0.25">
      <c r="B1882" s="16">
        <v>43782.125</v>
      </c>
      <c r="C1882" s="50" t="s">
        <v>1795</v>
      </c>
      <c r="D1882" s="34"/>
      <c r="E1882" s="37">
        <v>7500000</v>
      </c>
      <c r="F1882" s="37"/>
      <c r="G1882" s="37">
        <f t="shared" si="342"/>
        <v>7500000</v>
      </c>
      <c r="H1882" s="64"/>
      <c r="I1882" s="64">
        <v>271317.17</v>
      </c>
      <c r="J1882" s="64">
        <v>64190.7</v>
      </c>
      <c r="K1882" s="18">
        <f t="shared" si="343"/>
        <v>7164492.1299999999</v>
      </c>
      <c r="L1882" s="19">
        <f t="shared" si="344"/>
        <v>25250000</v>
      </c>
      <c r="M1882" s="20"/>
      <c r="N1882" s="20"/>
      <c r="O1882" s="81"/>
      <c r="P1882" s="85"/>
      <c r="Q1882" s="85"/>
      <c r="R1882" s="14"/>
      <c r="S1882" s="14"/>
    </row>
    <row r="1883" spans="2:19" ht="12.75" hidden="1" customHeight="1" x14ac:dyDescent="0.25">
      <c r="B1883" s="16">
        <v>43808.125</v>
      </c>
      <c r="C1883" s="50" t="s">
        <v>1796</v>
      </c>
      <c r="D1883" s="34"/>
      <c r="E1883" s="37">
        <v>7500000</v>
      </c>
      <c r="F1883" s="37"/>
      <c r="G1883" s="37">
        <f t="shared" si="342"/>
        <v>7500000</v>
      </c>
      <c r="H1883" s="64"/>
      <c r="I1883" s="64">
        <v>271317.17</v>
      </c>
      <c r="J1883" s="64">
        <v>64190.7</v>
      </c>
      <c r="K1883" s="18">
        <f t="shared" si="343"/>
        <v>7164492.1299999999</v>
      </c>
      <c r="L1883" s="19">
        <f t="shared" si="344"/>
        <v>17750000</v>
      </c>
      <c r="M1883" s="20"/>
      <c r="N1883" s="20"/>
      <c r="O1883" s="81"/>
      <c r="P1883" s="85"/>
      <c r="Q1883" s="85"/>
      <c r="R1883" s="14"/>
      <c r="S1883" s="14"/>
    </row>
    <row r="1884" spans="2:19" ht="12.75" hidden="1" customHeight="1" x14ac:dyDescent="0.25">
      <c r="B1884" s="16">
        <v>43811.125</v>
      </c>
      <c r="C1884" s="50" t="s">
        <v>1797</v>
      </c>
      <c r="D1884" s="34"/>
      <c r="E1884" s="37">
        <v>804450</v>
      </c>
      <c r="F1884" s="37"/>
      <c r="G1884" s="37">
        <f t="shared" si="342"/>
        <v>804450</v>
      </c>
      <c r="H1884" s="64"/>
      <c r="I1884" s="64">
        <v>63765.88</v>
      </c>
      <c r="J1884" s="64">
        <v>4322.66</v>
      </c>
      <c r="K1884" s="18">
        <f t="shared" si="343"/>
        <v>736361.46</v>
      </c>
      <c r="L1884" s="19">
        <f t="shared" si="344"/>
        <v>16945550</v>
      </c>
      <c r="M1884" s="20"/>
      <c r="N1884" s="20"/>
      <c r="O1884" s="81"/>
      <c r="P1884" s="85"/>
      <c r="Q1884" s="85"/>
      <c r="R1884" s="14"/>
      <c r="S1884" s="14"/>
    </row>
    <row r="1885" spans="2:19" ht="12.75" hidden="1" customHeight="1" x14ac:dyDescent="0.25">
      <c r="B1885" s="16">
        <v>43823.125</v>
      </c>
      <c r="C1885" s="50" t="s">
        <v>1798</v>
      </c>
      <c r="D1885" s="34"/>
      <c r="E1885" s="37">
        <v>7500000</v>
      </c>
      <c r="F1885" s="37"/>
      <c r="G1885" s="37">
        <f t="shared" si="342"/>
        <v>7500000</v>
      </c>
      <c r="H1885" s="64"/>
      <c r="I1885" s="64">
        <v>271317.17</v>
      </c>
      <c r="J1885" s="64">
        <v>64190.7</v>
      </c>
      <c r="K1885" s="18">
        <f t="shared" si="343"/>
        <v>7164492.1299999999</v>
      </c>
      <c r="L1885" s="19">
        <f t="shared" si="344"/>
        <v>9445550</v>
      </c>
      <c r="M1885" s="20"/>
      <c r="N1885" s="20"/>
      <c r="O1885" s="81"/>
      <c r="P1885" s="85"/>
      <c r="Q1885" s="85"/>
      <c r="R1885" s="14"/>
      <c r="S1885" s="14"/>
    </row>
    <row r="1886" spans="2:19" ht="12.75" hidden="1" customHeight="1" x14ac:dyDescent="0.25">
      <c r="B1886" s="16">
        <v>43825.125</v>
      </c>
      <c r="C1886" s="50" t="s">
        <v>1799</v>
      </c>
      <c r="D1886" s="34"/>
      <c r="E1886" s="37">
        <v>770800</v>
      </c>
      <c r="F1886" s="37"/>
      <c r="G1886" s="37">
        <f t="shared" si="342"/>
        <v>770800</v>
      </c>
      <c r="H1886" s="64"/>
      <c r="I1886" s="64">
        <v>141016.76999999999</v>
      </c>
      <c r="J1886" s="64">
        <v>7445.93</v>
      </c>
      <c r="K1886" s="18">
        <f t="shared" si="343"/>
        <v>622337.29999999993</v>
      </c>
      <c r="L1886" s="19">
        <f t="shared" si="344"/>
        <v>8674750</v>
      </c>
      <c r="M1886" s="20"/>
      <c r="N1886" s="20"/>
      <c r="O1886" s="81"/>
      <c r="P1886" s="85"/>
      <c r="Q1886" s="85"/>
      <c r="R1886" s="14"/>
      <c r="S1886" s="14"/>
    </row>
    <row r="1887" spans="2:19" ht="12.75" hidden="1" customHeight="1" x14ac:dyDescent="0.25">
      <c r="B1887" s="16">
        <v>43825.125</v>
      </c>
      <c r="C1887" s="50" t="s">
        <v>1800</v>
      </c>
      <c r="D1887" s="34"/>
      <c r="E1887" s="37">
        <v>387480</v>
      </c>
      <c r="F1887" s="37"/>
      <c r="G1887" s="37">
        <f t="shared" si="342"/>
        <v>387480</v>
      </c>
      <c r="H1887" s="64"/>
      <c r="I1887" s="64">
        <v>55215.89</v>
      </c>
      <c r="J1887" s="64">
        <v>3743.06</v>
      </c>
      <c r="K1887" s="18">
        <f t="shared" si="343"/>
        <v>328521.05</v>
      </c>
      <c r="L1887" s="19">
        <f t="shared" si="344"/>
        <v>8287270</v>
      </c>
      <c r="M1887" s="20"/>
      <c r="N1887" s="20"/>
      <c r="O1887" s="81"/>
      <c r="P1887" s="85"/>
      <c r="Q1887" s="85"/>
      <c r="R1887" s="14"/>
      <c r="S1887" s="14"/>
    </row>
    <row r="1888" spans="2:19" ht="12.75" hidden="1" customHeight="1" x14ac:dyDescent="0.25">
      <c r="B1888" s="16"/>
      <c r="C1888" s="50" t="s">
        <v>654</v>
      </c>
      <c r="D1888" s="34"/>
      <c r="E1888" s="37">
        <v>8287270</v>
      </c>
      <c r="F1888" s="37"/>
      <c r="G1888" s="37"/>
      <c r="H1888" s="64"/>
      <c r="I1888" s="64"/>
      <c r="J1888" s="64"/>
      <c r="K1888" s="18"/>
      <c r="L1888" s="19">
        <f>+L1887-E1888</f>
        <v>0</v>
      </c>
      <c r="M1888" s="20"/>
      <c r="N1888" s="20"/>
      <c r="O1888" s="81"/>
      <c r="P1888" s="85"/>
      <c r="Q1888" s="85"/>
      <c r="R1888" s="14"/>
      <c r="S1888" s="14"/>
    </row>
    <row r="1889" spans="2:19" ht="15" hidden="1" x14ac:dyDescent="0.25">
      <c r="B1889" s="9" t="s">
        <v>1801</v>
      </c>
      <c r="C1889" s="10"/>
      <c r="D1889" s="11">
        <v>53000000</v>
      </c>
      <c r="E1889" s="11">
        <f>+D1889</f>
        <v>53000000</v>
      </c>
      <c r="F1889" s="11"/>
      <c r="G1889" s="11"/>
      <c r="H1889" s="11"/>
      <c r="I1889" s="11"/>
      <c r="J1889" s="11"/>
      <c r="K1889" s="11"/>
      <c r="L1889" s="11">
        <f>+D1889</f>
        <v>53000000</v>
      </c>
      <c r="M1889" s="12"/>
      <c r="N1889" s="12"/>
      <c r="P1889" s="55"/>
      <c r="Q1889" s="55"/>
      <c r="R1889" s="14"/>
      <c r="S1889" s="14"/>
    </row>
    <row r="1890" spans="2:19" ht="12.75" hidden="1" customHeight="1" x14ac:dyDescent="0.25">
      <c r="B1890" s="16">
        <v>43641.083333333336</v>
      </c>
      <c r="C1890" s="50" t="s">
        <v>1802</v>
      </c>
      <c r="D1890" s="34"/>
      <c r="E1890" s="37">
        <v>1000000</v>
      </c>
      <c r="F1890" s="37"/>
      <c r="G1890" s="37">
        <f t="shared" ref="G1890:G1901" si="345">+E1890</f>
        <v>1000000</v>
      </c>
      <c r="H1890" s="64"/>
      <c r="I1890" s="64"/>
      <c r="J1890" s="64">
        <v>8558.76</v>
      </c>
      <c r="K1890" s="18">
        <f t="shared" ref="K1890:K1901" si="346">+G1890-H1890-I1890-J1890</f>
        <v>991441.24</v>
      </c>
      <c r="L1890" s="19">
        <f>+L1889-G1890</f>
        <v>52000000</v>
      </c>
      <c r="M1890" s="20"/>
      <c r="N1890" s="20"/>
      <c r="O1890" s="81">
        <f>+L1902-'[1]ANEXO 7 - PPTO VIG 2019'!T45</f>
        <v>0</v>
      </c>
      <c r="P1890" s="55"/>
      <c r="Q1890" s="55"/>
      <c r="R1890" s="14"/>
      <c r="S1890" s="14"/>
    </row>
    <row r="1891" spans="2:19" ht="12.75" hidden="1" customHeight="1" x14ac:dyDescent="0.25">
      <c r="B1891" s="16">
        <v>43661.083333333336</v>
      </c>
      <c r="C1891" s="50" t="s">
        <v>1803</v>
      </c>
      <c r="D1891" s="34"/>
      <c r="E1891" s="37">
        <v>6000000</v>
      </c>
      <c r="F1891" s="37"/>
      <c r="G1891" s="37">
        <f t="shared" si="345"/>
        <v>6000000</v>
      </c>
      <c r="H1891" s="64"/>
      <c r="I1891" s="64">
        <v>103751.4</v>
      </c>
      <c r="J1891" s="64">
        <v>51352.56</v>
      </c>
      <c r="K1891" s="18">
        <f t="shared" si="346"/>
        <v>5844896.04</v>
      </c>
      <c r="L1891" s="19">
        <f>+L1890-G1891</f>
        <v>46000000</v>
      </c>
      <c r="M1891" s="20"/>
      <c r="N1891" s="20"/>
      <c r="O1891" s="81"/>
      <c r="P1891" s="55"/>
      <c r="Q1891" s="55"/>
      <c r="R1891" s="14"/>
      <c r="S1891" s="14"/>
    </row>
    <row r="1892" spans="2:19" ht="12.75" hidden="1" customHeight="1" x14ac:dyDescent="0.25">
      <c r="B1892" s="16">
        <v>43699.083333333336</v>
      </c>
      <c r="C1892" s="50" t="s">
        <v>1804</v>
      </c>
      <c r="D1892" s="34"/>
      <c r="E1892" s="37">
        <v>6000000</v>
      </c>
      <c r="F1892" s="37"/>
      <c r="G1892" s="37">
        <f t="shared" si="345"/>
        <v>6000000</v>
      </c>
      <c r="H1892" s="64"/>
      <c r="I1892" s="64">
        <v>103751.4</v>
      </c>
      <c r="J1892" s="64">
        <v>51352.56</v>
      </c>
      <c r="K1892" s="18">
        <f t="shared" si="346"/>
        <v>5844896.04</v>
      </c>
      <c r="L1892" s="19">
        <f>+L1891-G1892</f>
        <v>40000000</v>
      </c>
      <c r="M1892" s="20"/>
      <c r="N1892" s="20"/>
      <c r="O1892" s="81"/>
      <c r="P1892" s="85"/>
      <c r="Q1892" s="85"/>
      <c r="R1892" s="14"/>
      <c r="S1892" s="14"/>
    </row>
    <row r="1893" spans="2:19" ht="12.75" hidden="1" customHeight="1" x14ac:dyDescent="0.25">
      <c r="B1893" s="16">
        <v>43710.083333333336</v>
      </c>
      <c r="C1893" s="50" t="s">
        <v>1805</v>
      </c>
      <c r="D1893" s="34"/>
      <c r="E1893" s="37">
        <v>6000000</v>
      </c>
      <c r="F1893" s="37"/>
      <c r="G1893" s="37">
        <f t="shared" si="345"/>
        <v>6000000</v>
      </c>
      <c r="H1893" s="64"/>
      <c r="I1893" s="64">
        <v>103751.4</v>
      </c>
      <c r="J1893" s="64">
        <v>51352.56</v>
      </c>
      <c r="K1893" s="18">
        <f t="shared" si="346"/>
        <v>5844896.04</v>
      </c>
      <c r="L1893" s="19">
        <f>+L1892-G1893</f>
        <v>34000000</v>
      </c>
      <c r="M1893" s="20"/>
      <c r="N1893" s="20"/>
      <c r="O1893" s="81"/>
      <c r="P1893" s="85"/>
      <c r="Q1893" s="85"/>
      <c r="R1893" s="14"/>
      <c r="S1893" s="14"/>
    </row>
    <row r="1894" spans="2:19" ht="12.75" hidden="1" customHeight="1" x14ac:dyDescent="0.25">
      <c r="B1894" s="16">
        <v>43755</v>
      </c>
      <c r="C1894" s="50" t="s">
        <v>1806</v>
      </c>
      <c r="D1894" s="34"/>
      <c r="E1894" s="37">
        <v>1039886</v>
      </c>
      <c r="F1894" s="37"/>
      <c r="G1894" s="37">
        <f t="shared" si="345"/>
        <v>1039886</v>
      </c>
      <c r="H1894" s="64"/>
      <c r="I1894" s="64"/>
      <c r="J1894" s="64"/>
      <c r="K1894" s="18">
        <f t="shared" si="346"/>
        <v>1039886</v>
      </c>
      <c r="L1894" s="19">
        <f t="shared" ref="L1894:L1899" si="347">+L1893-G1894</f>
        <v>32960114</v>
      </c>
      <c r="M1894" s="20"/>
      <c r="N1894" s="20"/>
      <c r="O1894" s="81"/>
      <c r="P1894" s="85"/>
      <c r="Q1894" s="85"/>
      <c r="R1894" s="14"/>
      <c r="S1894" s="14"/>
    </row>
    <row r="1895" spans="2:19" ht="12.75" hidden="1" customHeight="1" x14ac:dyDescent="0.25">
      <c r="B1895" s="16">
        <v>43755</v>
      </c>
      <c r="C1895" s="50" t="s">
        <v>1806</v>
      </c>
      <c r="D1895" s="34"/>
      <c r="E1895" s="37">
        <v>4960114</v>
      </c>
      <c r="F1895" s="37"/>
      <c r="G1895" s="37">
        <f t="shared" si="345"/>
        <v>4960114</v>
      </c>
      <c r="H1895" s="64"/>
      <c r="I1895" s="64">
        <v>103751.4</v>
      </c>
      <c r="J1895" s="64">
        <v>51352.56</v>
      </c>
      <c r="K1895" s="18">
        <f t="shared" si="346"/>
        <v>4805010.04</v>
      </c>
      <c r="L1895" s="19">
        <f t="shared" si="347"/>
        <v>28000000</v>
      </c>
      <c r="M1895" s="20"/>
      <c r="N1895" s="20"/>
      <c r="O1895" s="81"/>
      <c r="P1895" s="85"/>
      <c r="Q1895" s="85"/>
      <c r="R1895" s="14"/>
      <c r="S1895" s="14"/>
    </row>
    <row r="1896" spans="2:19" ht="12.75" hidden="1" customHeight="1" x14ac:dyDescent="0.25">
      <c r="B1896" s="16">
        <v>43783.125</v>
      </c>
      <c r="C1896" s="50" t="s">
        <v>1807</v>
      </c>
      <c r="D1896" s="34"/>
      <c r="E1896" s="37">
        <v>1039886</v>
      </c>
      <c r="F1896" s="37"/>
      <c r="G1896" s="37">
        <f t="shared" si="345"/>
        <v>1039886</v>
      </c>
      <c r="H1896" s="64"/>
      <c r="I1896" s="64"/>
      <c r="J1896" s="64"/>
      <c r="K1896" s="18">
        <f t="shared" si="346"/>
        <v>1039886</v>
      </c>
      <c r="L1896" s="19">
        <f t="shared" si="347"/>
        <v>26960114</v>
      </c>
      <c r="M1896" s="20"/>
      <c r="N1896" s="20"/>
      <c r="O1896" s="81"/>
      <c r="P1896" s="85"/>
      <c r="Q1896" s="85"/>
      <c r="R1896" s="14"/>
      <c r="S1896" s="14"/>
    </row>
    <row r="1897" spans="2:19" ht="12.75" hidden="1" customHeight="1" x14ac:dyDescent="0.25">
      <c r="B1897" s="16">
        <v>43783.125</v>
      </c>
      <c r="C1897" s="50" t="s">
        <v>1807</v>
      </c>
      <c r="D1897" s="34"/>
      <c r="E1897" s="37">
        <v>4960114</v>
      </c>
      <c r="F1897" s="37"/>
      <c r="G1897" s="37">
        <f t="shared" si="345"/>
        <v>4960114</v>
      </c>
      <c r="H1897" s="64"/>
      <c r="I1897" s="64">
        <v>103751.4</v>
      </c>
      <c r="J1897" s="64">
        <v>51352.56</v>
      </c>
      <c r="K1897" s="18">
        <f t="shared" si="346"/>
        <v>4805010.04</v>
      </c>
      <c r="L1897" s="19">
        <f t="shared" si="347"/>
        <v>22000000</v>
      </c>
      <c r="M1897" s="20"/>
      <c r="N1897" s="20"/>
      <c r="O1897" s="81"/>
      <c r="P1897" s="85"/>
      <c r="Q1897" s="85"/>
      <c r="R1897" s="14"/>
      <c r="S1897" s="14"/>
    </row>
    <row r="1898" spans="2:19" ht="12.75" hidden="1" customHeight="1" x14ac:dyDescent="0.25">
      <c r="B1898" s="16">
        <v>43812.125</v>
      </c>
      <c r="C1898" s="50" t="s">
        <v>1808</v>
      </c>
      <c r="D1898" s="34"/>
      <c r="E1898" s="37">
        <v>1039711</v>
      </c>
      <c r="F1898" s="37"/>
      <c r="G1898" s="37">
        <f t="shared" si="345"/>
        <v>1039711</v>
      </c>
      <c r="H1898" s="64"/>
      <c r="I1898" s="64"/>
      <c r="J1898" s="64"/>
      <c r="K1898" s="18">
        <f t="shared" si="346"/>
        <v>1039711</v>
      </c>
      <c r="L1898" s="19">
        <f t="shared" si="347"/>
        <v>20960289</v>
      </c>
      <c r="M1898" s="20"/>
      <c r="N1898" s="20"/>
      <c r="O1898" s="81"/>
      <c r="P1898" s="85"/>
      <c r="Q1898" s="85"/>
      <c r="R1898" s="14"/>
      <c r="S1898" s="14"/>
    </row>
    <row r="1899" spans="2:19" ht="12.75" hidden="1" customHeight="1" x14ac:dyDescent="0.25">
      <c r="B1899" s="16">
        <v>43812.125</v>
      </c>
      <c r="C1899" s="50" t="s">
        <v>1808</v>
      </c>
      <c r="D1899" s="34"/>
      <c r="E1899" s="37">
        <v>4960289</v>
      </c>
      <c r="F1899" s="37"/>
      <c r="G1899" s="37">
        <f t="shared" si="345"/>
        <v>4960289</v>
      </c>
      <c r="H1899" s="64"/>
      <c r="I1899" s="64">
        <v>103751.4</v>
      </c>
      <c r="J1899" s="64">
        <v>51352.56</v>
      </c>
      <c r="K1899" s="18">
        <f t="shared" si="346"/>
        <v>4805185.04</v>
      </c>
      <c r="L1899" s="19">
        <f t="shared" si="347"/>
        <v>16000000</v>
      </c>
      <c r="M1899" s="20"/>
      <c r="N1899" s="20"/>
      <c r="O1899" s="81"/>
      <c r="P1899" s="85"/>
      <c r="Q1899" s="85"/>
      <c r="R1899" s="14"/>
      <c r="S1899" s="14"/>
    </row>
    <row r="1900" spans="2:19" ht="12.75" hidden="1" customHeight="1" x14ac:dyDescent="0.25">
      <c r="B1900" s="16">
        <v>43822.125</v>
      </c>
      <c r="C1900" s="50" t="s">
        <v>1809</v>
      </c>
      <c r="D1900" s="34"/>
      <c r="E1900" s="37">
        <v>1039886</v>
      </c>
      <c r="F1900" s="37"/>
      <c r="G1900" s="37">
        <f t="shared" si="345"/>
        <v>1039886</v>
      </c>
      <c r="H1900" s="64"/>
      <c r="I1900" s="64"/>
      <c r="J1900" s="64"/>
      <c r="K1900" s="18">
        <f t="shared" si="346"/>
        <v>1039886</v>
      </c>
      <c r="L1900" s="19">
        <f>+L1899-G1900</f>
        <v>14960114</v>
      </c>
      <c r="M1900" s="20"/>
      <c r="N1900" s="20"/>
      <c r="O1900" s="81"/>
      <c r="P1900" s="85"/>
      <c r="Q1900" s="85"/>
      <c r="R1900" s="14"/>
      <c r="S1900" s="14"/>
    </row>
    <row r="1901" spans="2:19" ht="12.75" hidden="1" customHeight="1" x14ac:dyDescent="0.25">
      <c r="B1901" s="16">
        <v>43822.125</v>
      </c>
      <c r="C1901" s="50" t="s">
        <v>1809</v>
      </c>
      <c r="D1901" s="34"/>
      <c r="E1901" s="37">
        <v>4960114</v>
      </c>
      <c r="F1901" s="37"/>
      <c r="G1901" s="37">
        <f t="shared" si="345"/>
        <v>4960114</v>
      </c>
      <c r="H1901" s="64"/>
      <c r="I1901" s="64">
        <v>103751.4</v>
      </c>
      <c r="J1901" s="64">
        <v>51352.56</v>
      </c>
      <c r="K1901" s="18">
        <f t="shared" si="346"/>
        <v>4805010.04</v>
      </c>
      <c r="L1901" s="19">
        <f>+L1900-G1901</f>
        <v>10000000</v>
      </c>
      <c r="M1901" s="20"/>
      <c r="N1901" s="20"/>
      <c r="O1901" s="81"/>
      <c r="P1901" s="85"/>
      <c r="Q1901" s="85"/>
      <c r="R1901" s="14"/>
      <c r="S1901" s="14"/>
    </row>
    <row r="1902" spans="2:19" ht="12.75" hidden="1" customHeight="1" x14ac:dyDescent="0.25">
      <c r="B1902" s="16"/>
      <c r="C1902" s="50" t="s">
        <v>654</v>
      </c>
      <c r="D1902" s="34"/>
      <c r="E1902" s="37">
        <v>10000000</v>
      </c>
      <c r="F1902" s="37"/>
      <c r="G1902" s="37"/>
      <c r="H1902" s="64"/>
      <c r="I1902" s="64"/>
      <c r="J1902" s="64"/>
      <c r="K1902" s="18"/>
      <c r="L1902" s="19">
        <f>+L1901-E1902</f>
        <v>0</v>
      </c>
      <c r="M1902" s="20"/>
      <c r="N1902" s="20"/>
      <c r="O1902" s="81"/>
      <c r="P1902" s="85"/>
      <c r="Q1902" s="85"/>
      <c r="R1902" s="14"/>
      <c r="S1902" s="14"/>
    </row>
    <row r="1903" spans="2:19" ht="15" hidden="1" x14ac:dyDescent="0.25">
      <c r="B1903" s="9" t="s">
        <v>1810</v>
      </c>
      <c r="C1903" s="10"/>
      <c r="D1903" s="11">
        <v>37120000</v>
      </c>
      <c r="E1903" s="11">
        <f>+D1903</f>
        <v>37120000</v>
      </c>
      <c r="F1903" s="11"/>
      <c r="G1903" s="11"/>
      <c r="H1903" s="11"/>
      <c r="I1903" s="11"/>
      <c r="J1903" s="11"/>
      <c r="K1903" s="11"/>
      <c r="L1903" s="11">
        <f>+D1903</f>
        <v>37120000</v>
      </c>
      <c r="M1903" s="12"/>
      <c r="N1903" s="12"/>
      <c r="P1903" s="55"/>
      <c r="Q1903" s="55"/>
      <c r="R1903" s="14"/>
      <c r="S1903" s="14"/>
    </row>
    <row r="1904" spans="2:19" ht="12.75" hidden="1" customHeight="1" x14ac:dyDescent="0.25">
      <c r="B1904" s="16">
        <v>43635.083333333336</v>
      </c>
      <c r="C1904" s="50" t="s">
        <v>1811</v>
      </c>
      <c r="D1904" s="34"/>
      <c r="E1904" s="37">
        <v>2062667</v>
      </c>
      <c r="F1904" s="37"/>
      <c r="G1904" s="37">
        <f t="shared" ref="G1904:G1910" si="348">+E1904</f>
        <v>2062667</v>
      </c>
      <c r="H1904" s="64"/>
      <c r="I1904" s="64"/>
      <c r="J1904" s="64">
        <v>17653.87</v>
      </c>
      <c r="K1904" s="18">
        <f t="shared" ref="K1904:K1911" si="349">+G1904-H1904-I1904-J1904</f>
        <v>2045013.13</v>
      </c>
      <c r="L1904" s="19">
        <f t="shared" ref="L1904:L1911" si="350">+L1903-G1904</f>
        <v>35057333</v>
      </c>
      <c r="M1904" s="20"/>
      <c r="N1904" s="20"/>
      <c r="O1904" s="81">
        <f>+L1912-'[1]ANEXO 7 - PPTO VIG 2019'!T42</f>
        <v>0</v>
      </c>
      <c r="P1904" s="55"/>
      <c r="Q1904" s="55"/>
      <c r="R1904" s="14"/>
      <c r="S1904" s="14"/>
    </row>
    <row r="1905" spans="2:19" ht="12.75" hidden="1" customHeight="1" x14ac:dyDescent="0.25">
      <c r="B1905" s="16">
        <v>43662.083333333336</v>
      </c>
      <c r="C1905" s="50" t="s">
        <v>1812</v>
      </c>
      <c r="D1905" s="34"/>
      <c r="E1905" s="37">
        <v>3640000</v>
      </c>
      <c r="F1905" s="37"/>
      <c r="G1905" s="37">
        <f t="shared" si="348"/>
        <v>3640000</v>
      </c>
      <c r="H1905" s="64"/>
      <c r="I1905" s="64"/>
      <c r="J1905" s="64">
        <v>31153.89</v>
      </c>
      <c r="K1905" s="18">
        <f t="shared" si="349"/>
        <v>3608846.11</v>
      </c>
      <c r="L1905" s="19">
        <f t="shared" si="350"/>
        <v>31417333</v>
      </c>
      <c r="M1905" s="20"/>
      <c r="N1905" s="20"/>
      <c r="O1905" s="81"/>
      <c r="P1905" s="55"/>
      <c r="Q1905" s="55"/>
      <c r="R1905" s="14"/>
      <c r="S1905" s="14"/>
    </row>
    <row r="1906" spans="2:19" ht="12.75" hidden="1" customHeight="1" x14ac:dyDescent="0.25">
      <c r="B1906" s="16">
        <v>43692.083333333336</v>
      </c>
      <c r="C1906" s="50" t="s">
        <v>1813</v>
      </c>
      <c r="D1906" s="34"/>
      <c r="E1906" s="37">
        <v>3640000</v>
      </c>
      <c r="F1906" s="37"/>
      <c r="G1906" s="37">
        <f t="shared" si="348"/>
        <v>3640000</v>
      </c>
      <c r="H1906" s="64"/>
      <c r="I1906" s="64"/>
      <c r="J1906" s="64">
        <v>31153.89</v>
      </c>
      <c r="K1906" s="18">
        <f t="shared" si="349"/>
        <v>3608846.11</v>
      </c>
      <c r="L1906" s="19">
        <f t="shared" si="350"/>
        <v>27777333</v>
      </c>
      <c r="M1906" s="20"/>
      <c r="N1906" s="20"/>
      <c r="O1906" s="81"/>
      <c r="P1906" s="85"/>
      <c r="Q1906" s="85"/>
      <c r="R1906" s="14"/>
      <c r="S1906" s="14"/>
    </row>
    <row r="1907" spans="2:19" ht="12.75" hidden="1" customHeight="1" x14ac:dyDescent="0.25">
      <c r="B1907" s="16">
        <v>43714.083333333336</v>
      </c>
      <c r="C1907" s="50" t="s">
        <v>1814</v>
      </c>
      <c r="D1907" s="34"/>
      <c r="E1907" s="37">
        <v>3640000</v>
      </c>
      <c r="F1907" s="37"/>
      <c r="G1907" s="37">
        <f t="shared" si="348"/>
        <v>3640000</v>
      </c>
      <c r="H1907" s="64"/>
      <c r="I1907" s="64"/>
      <c r="J1907" s="64">
        <v>31153.89</v>
      </c>
      <c r="K1907" s="18">
        <f t="shared" si="349"/>
        <v>3608846.11</v>
      </c>
      <c r="L1907" s="19">
        <f t="shared" si="350"/>
        <v>24137333</v>
      </c>
      <c r="M1907" s="20"/>
      <c r="N1907" s="20"/>
      <c r="O1907" s="81"/>
      <c r="P1907" s="85"/>
      <c r="Q1907" s="85"/>
      <c r="R1907" s="14"/>
      <c r="S1907" s="14"/>
    </row>
    <row r="1908" spans="2:19" ht="12.75" hidden="1" customHeight="1" x14ac:dyDescent="0.25">
      <c r="B1908" s="16">
        <v>43754</v>
      </c>
      <c r="C1908" s="50" t="s">
        <v>1815</v>
      </c>
      <c r="D1908" s="34"/>
      <c r="E1908" s="37">
        <v>3640000</v>
      </c>
      <c r="F1908" s="37"/>
      <c r="G1908" s="37">
        <f t="shared" si="348"/>
        <v>3640000</v>
      </c>
      <c r="H1908" s="64"/>
      <c r="I1908" s="64"/>
      <c r="J1908" s="64">
        <v>31153.89</v>
      </c>
      <c r="K1908" s="18">
        <f t="shared" si="349"/>
        <v>3608846.11</v>
      </c>
      <c r="L1908" s="19">
        <f t="shared" si="350"/>
        <v>20497333</v>
      </c>
      <c r="M1908" s="20"/>
      <c r="N1908" s="20"/>
      <c r="O1908" s="81"/>
      <c r="P1908" s="85"/>
      <c r="Q1908" s="85"/>
      <c r="R1908" s="14"/>
      <c r="S1908" s="14"/>
    </row>
    <row r="1909" spans="2:19" ht="12.75" hidden="1" customHeight="1" x14ac:dyDescent="0.25">
      <c r="B1909" s="16">
        <v>43796.125</v>
      </c>
      <c r="C1909" s="50" t="s">
        <v>1816</v>
      </c>
      <c r="D1909" s="34"/>
      <c r="E1909" s="37">
        <v>3640000</v>
      </c>
      <c r="F1909" s="37"/>
      <c r="G1909" s="37">
        <f t="shared" si="348"/>
        <v>3640000</v>
      </c>
      <c r="H1909" s="64"/>
      <c r="I1909" s="64"/>
      <c r="J1909" s="64">
        <v>31153.89</v>
      </c>
      <c r="K1909" s="18">
        <f t="shared" si="349"/>
        <v>3608846.11</v>
      </c>
      <c r="L1909" s="19">
        <f t="shared" si="350"/>
        <v>16857333</v>
      </c>
      <c r="M1909" s="20"/>
      <c r="N1909" s="20"/>
      <c r="O1909" s="81"/>
      <c r="P1909" s="85"/>
      <c r="Q1909" s="85"/>
      <c r="R1909" s="14"/>
      <c r="S1909" s="14"/>
    </row>
    <row r="1910" spans="2:19" ht="12.75" hidden="1" customHeight="1" x14ac:dyDescent="0.25">
      <c r="B1910" s="16">
        <v>43805.125</v>
      </c>
      <c r="C1910" s="50" t="s">
        <v>1817</v>
      </c>
      <c r="D1910" s="34"/>
      <c r="E1910" s="37">
        <v>3640000</v>
      </c>
      <c r="F1910" s="37"/>
      <c r="G1910" s="37">
        <f t="shared" si="348"/>
        <v>3640000</v>
      </c>
      <c r="H1910" s="64"/>
      <c r="I1910" s="64"/>
      <c r="J1910" s="64">
        <v>31153.89</v>
      </c>
      <c r="K1910" s="18">
        <f t="shared" si="349"/>
        <v>3608846.11</v>
      </c>
      <c r="L1910" s="19">
        <f t="shared" si="350"/>
        <v>13217333</v>
      </c>
      <c r="M1910" s="20"/>
      <c r="N1910" s="20"/>
      <c r="O1910" s="81"/>
      <c r="P1910" s="85"/>
      <c r="Q1910" s="85"/>
      <c r="R1910" s="14"/>
      <c r="S1910" s="14"/>
    </row>
    <row r="1911" spans="2:19" ht="12.75" hidden="1" customHeight="1" x14ac:dyDescent="0.25">
      <c r="B1911" s="16">
        <v>43833.125</v>
      </c>
      <c r="C1911" s="50" t="s">
        <v>1818</v>
      </c>
      <c r="D1911" s="34"/>
      <c r="E1911" s="37">
        <v>3640000</v>
      </c>
      <c r="F1911" s="37"/>
      <c r="G1911" s="37">
        <f>+E1911</f>
        <v>3640000</v>
      </c>
      <c r="H1911" s="64"/>
      <c r="I1911" s="64"/>
      <c r="J1911" s="64">
        <v>31153.89</v>
      </c>
      <c r="K1911" s="18">
        <f t="shared" si="349"/>
        <v>3608846.11</v>
      </c>
      <c r="L1911" s="19">
        <f t="shared" si="350"/>
        <v>9577333</v>
      </c>
      <c r="M1911" s="20"/>
      <c r="N1911" s="20"/>
      <c r="O1911" s="81"/>
      <c r="P1911" s="85"/>
      <c r="Q1911" s="85"/>
      <c r="R1911" s="14"/>
      <c r="S1911" s="14"/>
    </row>
    <row r="1912" spans="2:19" ht="12.75" hidden="1" customHeight="1" x14ac:dyDescent="0.25">
      <c r="B1912" s="16"/>
      <c r="C1912" s="50" t="s">
        <v>654</v>
      </c>
      <c r="D1912" s="34"/>
      <c r="E1912" s="37">
        <f>8000000+1577333</f>
        <v>9577333</v>
      </c>
      <c r="F1912" s="37"/>
      <c r="G1912" s="37"/>
      <c r="H1912" s="64"/>
      <c r="I1912" s="64"/>
      <c r="J1912" s="64"/>
      <c r="K1912" s="18"/>
      <c r="L1912" s="19">
        <f>+L1911-E1912</f>
        <v>0</v>
      </c>
      <c r="M1912" s="20"/>
      <c r="N1912" s="20"/>
      <c r="O1912" s="81"/>
      <c r="P1912" s="85"/>
      <c r="Q1912" s="85"/>
      <c r="R1912" s="14"/>
      <c r="S1912" s="14"/>
    </row>
    <row r="1913" spans="2:19" ht="15" hidden="1" x14ac:dyDescent="0.25">
      <c r="B1913" s="9" t="s">
        <v>1819</v>
      </c>
      <c r="C1913" s="10"/>
      <c r="D1913" s="11">
        <v>41280000</v>
      </c>
      <c r="E1913" s="11">
        <f>+D1913</f>
        <v>41280000</v>
      </c>
      <c r="F1913" s="11"/>
      <c r="G1913" s="11"/>
      <c r="H1913" s="11"/>
      <c r="I1913" s="11"/>
      <c r="J1913" s="11"/>
      <c r="K1913" s="11"/>
      <c r="L1913" s="11">
        <f>+D1913</f>
        <v>41280000</v>
      </c>
      <c r="M1913" s="12"/>
      <c r="N1913" s="12"/>
      <c r="P1913" s="55"/>
      <c r="Q1913" s="55"/>
      <c r="R1913" s="14"/>
      <c r="S1913" s="14"/>
    </row>
    <row r="1914" spans="2:19" ht="12.75" hidden="1" customHeight="1" x14ac:dyDescent="0.25">
      <c r="B1914" s="16">
        <v>43635.083333333336</v>
      </c>
      <c r="C1914" s="50" t="s">
        <v>1820</v>
      </c>
      <c r="D1914" s="34"/>
      <c r="E1914" s="37">
        <v>2634666</v>
      </c>
      <c r="F1914" s="37"/>
      <c r="G1914" s="37">
        <f t="shared" ref="G1914:G1922" si="351">+E1914</f>
        <v>2634666</v>
      </c>
      <c r="H1914" s="64"/>
      <c r="I1914" s="64"/>
      <c r="J1914" s="64">
        <v>22549.47</v>
      </c>
      <c r="K1914" s="18">
        <f t="shared" ref="K1914:K1922" si="352">+G1914-H1914-I1914-J1914</f>
        <v>2612116.5299999998</v>
      </c>
      <c r="L1914" s="19">
        <f t="shared" ref="L1914:L1922" si="353">+L1913-G1914</f>
        <v>38645334</v>
      </c>
      <c r="M1914" s="20"/>
      <c r="N1914" s="20"/>
      <c r="O1914" s="81">
        <f>+L1923-'[1]ANEXO 7 - PPTO VIG 2019'!T43</f>
        <v>0</v>
      </c>
      <c r="P1914" s="55"/>
      <c r="Q1914" s="55"/>
      <c r="R1914" s="14"/>
      <c r="S1914" s="14"/>
    </row>
    <row r="1915" spans="2:19" ht="12.75" hidden="1" customHeight="1" x14ac:dyDescent="0.25">
      <c r="B1915" s="16">
        <v>43662.083333333336</v>
      </c>
      <c r="C1915" s="50" t="s">
        <v>1821</v>
      </c>
      <c r="D1915" s="34"/>
      <c r="E1915" s="37">
        <v>4160000</v>
      </c>
      <c r="F1915" s="37"/>
      <c r="G1915" s="37">
        <f t="shared" si="351"/>
        <v>4160000</v>
      </c>
      <c r="H1915" s="64"/>
      <c r="I1915" s="64"/>
      <c r="J1915" s="64">
        <v>35604.44</v>
      </c>
      <c r="K1915" s="18">
        <f t="shared" si="352"/>
        <v>4124395.56</v>
      </c>
      <c r="L1915" s="19">
        <f t="shared" si="353"/>
        <v>34485334</v>
      </c>
      <c r="M1915" s="20"/>
      <c r="N1915" s="20"/>
      <c r="O1915" s="81"/>
      <c r="P1915" s="55"/>
      <c r="Q1915" s="55"/>
      <c r="R1915" s="14"/>
      <c r="S1915" s="14"/>
    </row>
    <row r="1916" spans="2:19" ht="12.75" hidden="1" customHeight="1" x14ac:dyDescent="0.25">
      <c r="B1916" s="16">
        <v>43691.083333333336</v>
      </c>
      <c r="C1916" s="50" t="s">
        <v>1822</v>
      </c>
      <c r="D1916" s="34"/>
      <c r="E1916" s="37">
        <v>4160000</v>
      </c>
      <c r="F1916" s="37"/>
      <c r="G1916" s="37">
        <f t="shared" si="351"/>
        <v>4160000</v>
      </c>
      <c r="H1916" s="64"/>
      <c r="I1916" s="64"/>
      <c r="J1916" s="64">
        <v>35604.44</v>
      </c>
      <c r="K1916" s="18">
        <f t="shared" si="352"/>
        <v>4124395.56</v>
      </c>
      <c r="L1916" s="19">
        <f t="shared" si="353"/>
        <v>30325334</v>
      </c>
      <c r="M1916" s="20"/>
      <c r="N1916" s="20"/>
      <c r="O1916" s="81"/>
      <c r="P1916" s="85"/>
      <c r="Q1916" s="85"/>
      <c r="R1916" s="14"/>
      <c r="S1916" s="14"/>
    </row>
    <row r="1917" spans="2:19" ht="12.75" hidden="1" customHeight="1" x14ac:dyDescent="0.25">
      <c r="B1917" s="16">
        <v>43707.083333333336</v>
      </c>
      <c r="C1917" s="50" t="s">
        <v>1823</v>
      </c>
      <c r="D1917" s="34"/>
      <c r="E1917" s="37">
        <v>4160000</v>
      </c>
      <c r="F1917" s="37"/>
      <c r="G1917" s="37">
        <f t="shared" si="351"/>
        <v>4160000</v>
      </c>
      <c r="H1917" s="64"/>
      <c r="I1917" s="64"/>
      <c r="J1917" s="64">
        <v>35604.44</v>
      </c>
      <c r="K1917" s="18">
        <f t="shared" si="352"/>
        <v>4124395.56</v>
      </c>
      <c r="L1917" s="19">
        <f t="shared" si="353"/>
        <v>26165334</v>
      </c>
      <c r="M1917" s="20"/>
      <c r="N1917" s="20"/>
      <c r="O1917" s="81"/>
      <c r="P1917" s="85"/>
      <c r="Q1917" s="85"/>
      <c r="R1917" s="14"/>
      <c r="S1917" s="14"/>
    </row>
    <row r="1918" spans="2:19" ht="12.75" hidden="1" customHeight="1" x14ac:dyDescent="0.25">
      <c r="B1918" s="89">
        <v>43754.083333333336</v>
      </c>
      <c r="C1918" s="90" t="s">
        <v>1824</v>
      </c>
      <c r="D1918" s="34"/>
      <c r="E1918" s="37">
        <v>4160000</v>
      </c>
      <c r="F1918" s="37"/>
      <c r="G1918" s="37">
        <f t="shared" si="351"/>
        <v>4160000</v>
      </c>
      <c r="H1918" s="64"/>
      <c r="I1918" s="64"/>
      <c r="J1918" s="64">
        <v>35604.44</v>
      </c>
      <c r="K1918" s="18">
        <f t="shared" si="352"/>
        <v>4124395.56</v>
      </c>
      <c r="L1918" s="19">
        <f t="shared" si="353"/>
        <v>22005334</v>
      </c>
      <c r="M1918" s="20"/>
      <c r="N1918" s="20"/>
      <c r="O1918" s="81"/>
      <c r="P1918" s="85"/>
      <c r="Q1918" s="85"/>
      <c r="R1918" s="14"/>
      <c r="S1918" s="14"/>
    </row>
    <row r="1919" spans="2:19" ht="12.75" hidden="1" customHeight="1" x14ac:dyDescent="0.25">
      <c r="B1919" s="89">
        <v>43783.125</v>
      </c>
      <c r="C1919" s="90" t="s">
        <v>1825</v>
      </c>
      <c r="D1919" s="34"/>
      <c r="E1919" s="37">
        <v>4160000</v>
      </c>
      <c r="F1919" s="37"/>
      <c r="G1919" s="37">
        <f t="shared" si="351"/>
        <v>4160000</v>
      </c>
      <c r="H1919" s="64"/>
      <c r="I1919" s="64"/>
      <c r="J1919" s="64">
        <v>35604.44</v>
      </c>
      <c r="K1919" s="18">
        <f t="shared" si="352"/>
        <v>4124395.56</v>
      </c>
      <c r="L1919" s="19">
        <f t="shared" si="353"/>
        <v>17845334</v>
      </c>
      <c r="M1919" s="20"/>
      <c r="N1919" s="20"/>
      <c r="O1919" s="81"/>
      <c r="P1919" s="85"/>
      <c r="Q1919" s="85"/>
      <c r="R1919" s="14"/>
      <c r="S1919" s="14"/>
    </row>
    <row r="1920" spans="2:19" ht="12.75" hidden="1" customHeight="1" x14ac:dyDescent="0.25">
      <c r="B1920" s="89">
        <v>43805.125</v>
      </c>
      <c r="C1920" s="90" t="s">
        <v>1826</v>
      </c>
      <c r="D1920" s="34"/>
      <c r="E1920" s="37">
        <v>4160000</v>
      </c>
      <c r="F1920" s="37"/>
      <c r="G1920" s="37">
        <f t="shared" si="351"/>
        <v>4160000</v>
      </c>
      <c r="H1920" s="64"/>
      <c r="I1920" s="64"/>
      <c r="J1920" s="64">
        <v>35604.44</v>
      </c>
      <c r="K1920" s="18">
        <f t="shared" si="352"/>
        <v>4124395.56</v>
      </c>
      <c r="L1920" s="19">
        <f t="shared" si="353"/>
        <v>13685334</v>
      </c>
      <c r="M1920" s="20"/>
      <c r="N1920" s="20"/>
      <c r="O1920" s="81"/>
      <c r="P1920" s="85"/>
      <c r="Q1920" s="85"/>
      <c r="R1920" s="14"/>
      <c r="S1920" s="14"/>
    </row>
    <row r="1921" spans="2:19" ht="12.75" hidden="1" customHeight="1" x14ac:dyDescent="0.25">
      <c r="B1921" s="89">
        <v>43811.125</v>
      </c>
      <c r="C1921" s="90" t="s">
        <v>1827</v>
      </c>
      <c r="D1921" s="34"/>
      <c r="E1921" s="37">
        <v>785335</v>
      </c>
      <c r="F1921" s="37"/>
      <c r="G1921" s="37">
        <f t="shared" si="351"/>
        <v>785335</v>
      </c>
      <c r="H1921" s="64"/>
      <c r="I1921" s="64"/>
      <c r="J1921" s="64">
        <v>5074.0600000000004</v>
      </c>
      <c r="K1921" s="18">
        <f t="shared" si="352"/>
        <v>780260.94</v>
      </c>
      <c r="L1921" s="19">
        <f t="shared" si="353"/>
        <v>12899999</v>
      </c>
      <c r="M1921" s="20"/>
      <c r="N1921" s="20"/>
      <c r="O1921" s="81"/>
      <c r="P1921" s="85"/>
      <c r="Q1921" s="85"/>
      <c r="R1921" s="14"/>
      <c r="S1921" s="14"/>
    </row>
    <row r="1922" spans="2:19" ht="12.75" hidden="1" customHeight="1" x14ac:dyDescent="0.25">
      <c r="B1922" s="89">
        <v>43846.125</v>
      </c>
      <c r="C1922" s="90" t="s">
        <v>1828</v>
      </c>
      <c r="D1922" s="34"/>
      <c r="E1922" s="37">
        <v>4160000</v>
      </c>
      <c r="F1922" s="37"/>
      <c r="G1922" s="37">
        <f t="shared" si="351"/>
        <v>4160000</v>
      </c>
      <c r="H1922" s="64"/>
      <c r="I1922" s="64"/>
      <c r="J1922" s="64">
        <v>35604.44</v>
      </c>
      <c r="K1922" s="18">
        <f t="shared" si="352"/>
        <v>4124395.56</v>
      </c>
      <c r="L1922" s="19">
        <f t="shared" si="353"/>
        <v>8739999</v>
      </c>
      <c r="M1922" s="20"/>
      <c r="N1922" s="20"/>
      <c r="O1922" s="81"/>
      <c r="P1922" s="85"/>
      <c r="Q1922" s="85"/>
      <c r="R1922" s="14"/>
      <c r="S1922" s="14"/>
    </row>
    <row r="1923" spans="2:19" ht="12.75" hidden="1" customHeight="1" x14ac:dyDescent="0.25">
      <c r="B1923" s="89"/>
      <c r="C1923" s="90" t="s">
        <v>654</v>
      </c>
      <c r="D1923" s="34"/>
      <c r="E1923" s="37">
        <f>7214665+1525334</f>
        <v>8739999</v>
      </c>
      <c r="F1923" s="37"/>
      <c r="G1923" s="37"/>
      <c r="H1923" s="64"/>
      <c r="I1923" s="64"/>
      <c r="J1923" s="64"/>
      <c r="K1923" s="18"/>
      <c r="L1923" s="19">
        <f>+L1922-E1923</f>
        <v>0</v>
      </c>
      <c r="M1923" s="20"/>
      <c r="N1923" s="20"/>
      <c r="O1923" s="81"/>
      <c r="P1923" s="85"/>
      <c r="Q1923" s="85"/>
      <c r="R1923" s="14"/>
      <c r="S1923" s="14"/>
    </row>
    <row r="1924" spans="2:19" ht="15" hidden="1" x14ac:dyDescent="0.25">
      <c r="B1924" s="9" t="s">
        <v>1829</v>
      </c>
      <c r="C1924" s="10"/>
      <c r="D1924" s="11">
        <v>66240000</v>
      </c>
      <c r="E1924" s="11">
        <f>+D1924</f>
        <v>66240000</v>
      </c>
      <c r="F1924" s="11"/>
      <c r="G1924" s="11"/>
      <c r="H1924" s="11"/>
      <c r="I1924" s="11"/>
      <c r="J1924" s="11"/>
      <c r="K1924" s="11"/>
      <c r="L1924" s="11">
        <f>+D1924</f>
        <v>66240000</v>
      </c>
      <c r="M1924" s="12"/>
      <c r="N1924" s="12"/>
      <c r="P1924" s="55"/>
      <c r="Q1924" s="55"/>
      <c r="R1924" s="14"/>
      <c r="S1924" s="14"/>
    </row>
    <row r="1925" spans="2:19" ht="12.75" hidden="1" customHeight="1" x14ac:dyDescent="0.25">
      <c r="B1925" s="16">
        <v>43635.083333333336</v>
      </c>
      <c r="C1925" s="50" t="s">
        <v>1830</v>
      </c>
      <c r="D1925" s="34"/>
      <c r="E1925" s="37">
        <v>4368000</v>
      </c>
      <c r="F1925" s="37"/>
      <c r="G1925" s="37">
        <f t="shared" ref="G1925:G1937" si="354">+E1925</f>
        <v>4368000</v>
      </c>
      <c r="H1925" s="64"/>
      <c r="I1925" s="64"/>
      <c r="J1925" s="64">
        <v>37384.660000000003</v>
      </c>
      <c r="K1925" s="18">
        <f t="shared" ref="K1925:K1937" si="355">+G1925-H1925-I1925-J1925</f>
        <v>4330615.34</v>
      </c>
      <c r="L1925" s="19">
        <f t="shared" ref="L1925:L1937" si="356">+L1924-G1925</f>
        <v>61872000</v>
      </c>
      <c r="M1925" s="20"/>
      <c r="N1925" s="20"/>
      <c r="O1925" s="81">
        <f>+L1938-'[1]ANEXO 7 - PPTO VIG 2019'!T41</f>
        <v>0</v>
      </c>
      <c r="P1925" s="55"/>
      <c r="Q1925" s="55"/>
      <c r="R1925" s="14"/>
      <c r="S1925" s="14"/>
    </row>
    <row r="1926" spans="2:19" ht="12.75" hidden="1" customHeight="1" x14ac:dyDescent="0.25">
      <c r="B1926" s="16">
        <v>43661.083333333336</v>
      </c>
      <c r="C1926" s="50" t="s">
        <v>1831</v>
      </c>
      <c r="D1926" s="34"/>
      <c r="E1926" s="37">
        <v>7280000</v>
      </c>
      <c r="F1926" s="37"/>
      <c r="G1926" s="37">
        <f t="shared" si="354"/>
        <v>7280000</v>
      </c>
      <c r="H1926" s="64"/>
      <c r="I1926" s="64">
        <v>350473.05</v>
      </c>
      <c r="J1926" s="64">
        <v>62307.77</v>
      </c>
      <c r="K1926" s="18">
        <f t="shared" si="355"/>
        <v>6867219.1800000006</v>
      </c>
      <c r="L1926" s="19">
        <f t="shared" si="356"/>
        <v>54592000</v>
      </c>
      <c r="M1926" s="20"/>
      <c r="N1926" s="20"/>
      <c r="O1926" s="81"/>
      <c r="P1926" s="55"/>
      <c r="Q1926" s="55"/>
      <c r="R1926" s="14"/>
      <c r="S1926" s="14"/>
    </row>
    <row r="1927" spans="2:19" ht="12.75" hidden="1" customHeight="1" x14ac:dyDescent="0.25">
      <c r="B1927" s="16">
        <v>43686.083333333336</v>
      </c>
      <c r="C1927" s="50" t="s">
        <v>1832</v>
      </c>
      <c r="D1927" s="34"/>
      <c r="E1927" s="37">
        <v>7280000</v>
      </c>
      <c r="F1927" s="37"/>
      <c r="G1927" s="37">
        <f t="shared" si="354"/>
        <v>7280000</v>
      </c>
      <c r="H1927" s="64"/>
      <c r="I1927" s="64">
        <v>350473.05</v>
      </c>
      <c r="J1927" s="64">
        <v>62307.77</v>
      </c>
      <c r="K1927" s="18">
        <f t="shared" si="355"/>
        <v>6867219.1800000006</v>
      </c>
      <c r="L1927" s="19">
        <f t="shared" si="356"/>
        <v>47312000</v>
      </c>
      <c r="M1927" s="20"/>
      <c r="N1927" s="20"/>
      <c r="O1927" s="81"/>
      <c r="P1927" s="85"/>
      <c r="Q1927" s="85"/>
      <c r="R1927" s="14"/>
      <c r="S1927" s="14"/>
    </row>
    <row r="1928" spans="2:19" ht="12.75" hidden="1" customHeight="1" x14ac:dyDescent="0.25">
      <c r="B1928" s="16">
        <v>43693.083333333336</v>
      </c>
      <c r="C1928" s="50" t="s">
        <v>1833</v>
      </c>
      <c r="D1928" s="34"/>
      <c r="E1928" s="37">
        <v>1096880</v>
      </c>
      <c r="F1928" s="37"/>
      <c r="G1928" s="37">
        <f t="shared" si="354"/>
        <v>1096880</v>
      </c>
      <c r="H1928" s="64"/>
      <c r="I1928" s="64">
        <v>122056.75</v>
      </c>
      <c r="J1928" s="64">
        <v>6238.43</v>
      </c>
      <c r="K1928" s="18">
        <f t="shared" si="355"/>
        <v>968584.82</v>
      </c>
      <c r="L1928" s="19">
        <f t="shared" si="356"/>
        <v>46215120</v>
      </c>
      <c r="M1928" s="20"/>
      <c r="N1928" s="20"/>
      <c r="O1928" s="81"/>
      <c r="P1928" s="85"/>
      <c r="Q1928" s="85"/>
      <c r="R1928" s="14"/>
      <c r="S1928" s="14"/>
    </row>
    <row r="1929" spans="2:19" ht="12.75" hidden="1" customHeight="1" x14ac:dyDescent="0.25">
      <c r="B1929" s="16">
        <v>43707.083333333336</v>
      </c>
      <c r="C1929" s="50" t="s">
        <v>1834</v>
      </c>
      <c r="D1929" s="34"/>
      <c r="E1929" s="37">
        <v>7280000</v>
      </c>
      <c r="F1929" s="37"/>
      <c r="G1929" s="37">
        <f t="shared" si="354"/>
        <v>7280000</v>
      </c>
      <c r="H1929" s="64"/>
      <c r="I1929" s="64">
        <v>350473.05</v>
      </c>
      <c r="J1929" s="64">
        <v>62307.77</v>
      </c>
      <c r="K1929" s="18">
        <f t="shared" si="355"/>
        <v>6867219.1800000006</v>
      </c>
      <c r="L1929" s="19">
        <f t="shared" si="356"/>
        <v>38935120</v>
      </c>
      <c r="M1929" s="20"/>
      <c r="N1929" s="20"/>
      <c r="O1929" s="81"/>
      <c r="P1929" s="85"/>
      <c r="Q1929" s="85"/>
      <c r="R1929" s="14"/>
      <c r="S1929" s="14"/>
    </row>
    <row r="1930" spans="2:19" ht="12.75" hidden="1" customHeight="1" x14ac:dyDescent="0.25">
      <c r="B1930" s="16">
        <v>43742.083333333336</v>
      </c>
      <c r="C1930" s="50" t="s">
        <v>1835</v>
      </c>
      <c r="D1930" s="34"/>
      <c r="E1930" s="37">
        <v>7280000</v>
      </c>
      <c r="F1930" s="37"/>
      <c r="G1930" s="37">
        <f t="shared" si="354"/>
        <v>7280000</v>
      </c>
      <c r="H1930" s="64"/>
      <c r="I1930" s="64">
        <v>350473.05</v>
      </c>
      <c r="J1930" s="64">
        <v>62307.77</v>
      </c>
      <c r="K1930" s="18">
        <f t="shared" si="355"/>
        <v>6867219.1800000006</v>
      </c>
      <c r="L1930" s="19">
        <f t="shared" si="356"/>
        <v>31655120</v>
      </c>
      <c r="M1930" s="20"/>
      <c r="N1930" s="20"/>
      <c r="O1930" s="81"/>
      <c r="P1930" s="85"/>
      <c r="Q1930" s="85"/>
      <c r="R1930" s="14"/>
      <c r="S1930" s="14"/>
    </row>
    <row r="1931" spans="2:19" ht="12.75" hidden="1" customHeight="1" x14ac:dyDescent="0.25">
      <c r="B1931" s="16">
        <v>43742.083333333336</v>
      </c>
      <c r="C1931" s="50" t="s">
        <v>1836</v>
      </c>
      <c r="D1931" s="34"/>
      <c r="E1931" s="37">
        <v>1054830</v>
      </c>
      <c r="F1931" s="37"/>
      <c r="G1931" s="37">
        <f t="shared" si="354"/>
        <v>1054830</v>
      </c>
      <c r="H1931" s="64"/>
      <c r="I1931" s="64">
        <v>133816.74</v>
      </c>
      <c r="J1931" s="64">
        <v>6779.39</v>
      </c>
      <c r="K1931" s="18">
        <f t="shared" si="355"/>
        <v>914233.87</v>
      </c>
      <c r="L1931" s="19">
        <f t="shared" si="356"/>
        <v>30600290</v>
      </c>
      <c r="M1931" s="20"/>
      <c r="N1931" s="20"/>
      <c r="O1931" s="81"/>
      <c r="P1931" s="85"/>
      <c r="Q1931" s="85"/>
      <c r="R1931" s="14"/>
      <c r="S1931" s="14"/>
    </row>
    <row r="1932" spans="2:19" ht="12.75" hidden="1" customHeight="1" x14ac:dyDescent="0.25">
      <c r="B1932" s="16">
        <v>43777.125</v>
      </c>
      <c r="C1932" s="50" t="s">
        <v>1837</v>
      </c>
      <c r="D1932" s="34"/>
      <c r="E1932" s="37">
        <v>1140020</v>
      </c>
      <c r="F1932" s="37"/>
      <c r="G1932" s="37">
        <f t="shared" si="354"/>
        <v>1140020</v>
      </c>
      <c r="H1932" s="64"/>
      <c r="I1932" s="64"/>
      <c r="J1932" s="64">
        <v>7832.33</v>
      </c>
      <c r="K1932" s="18">
        <f t="shared" si="355"/>
        <v>1132187.67</v>
      </c>
      <c r="L1932" s="19">
        <f t="shared" si="356"/>
        <v>29460270</v>
      </c>
      <c r="M1932" s="20"/>
      <c r="N1932" s="20"/>
      <c r="O1932" s="81"/>
      <c r="P1932" s="85"/>
      <c r="Q1932" s="85"/>
      <c r="R1932" s="14"/>
      <c r="S1932" s="14"/>
    </row>
    <row r="1933" spans="2:19" ht="12.75" hidden="1" customHeight="1" x14ac:dyDescent="0.25">
      <c r="B1933" s="16">
        <v>43777.125</v>
      </c>
      <c r="C1933" s="50" t="s">
        <v>1838</v>
      </c>
      <c r="D1933" s="34"/>
      <c r="E1933" s="37">
        <v>7280000</v>
      </c>
      <c r="F1933" s="37"/>
      <c r="G1933" s="37">
        <f t="shared" si="354"/>
        <v>7280000</v>
      </c>
      <c r="H1933" s="64"/>
      <c r="I1933" s="64">
        <v>350473.05</v>
      </c>
      <c r="J1933" s="64">
        <v>62307.77</v>
      </c>
      <c r="K1933" s="18">
        <f t="shared" si="355"/>
        <v>6867219.1800000006</v>
      </c>
      <c r="L1933" s="19">
        <f t="shared" si="356"/>
        <v>22180270</v>
      </c>
      <c r="M1933" s="20"/>
      <c r="N1933" s="20"/>
      <c r="O1933" s="81"/>
      <c r="P1933" s="85"/>
      <c r="Q1933" s="85"/>
      <c r="R1933" s="14"/>
      <c r="S1933" s="14"/>
    </row>
    <row r="1934" spans="2:19" ht="12.75" hidden="1" customHeight="1" x14ac:dyDescent="0.25">
      <c r="B1934" s="16">
        <v>43804.125</v>
      </c>
      <c r="C1934" s="50" t="s">
        <v>1839</v>
      </c>
      <c r="D1934" s="34"/>
      <c r="E1934" s="37">
        <v>7280000</v>
      </c>
      <c r="F1934" s="37"/>
      <c r="G1934" s="37">
        <f t="shared" si="354"/>
        <v>7280000</v>
      </c>
      <c r="H1934" s="64"/>
      <c r="I1934" s="64">
        <v>350473.05</v>
      </c>
      <c r="J1934" s="64">
        <v>62307.77</v>
      </c>
      <c r="K1934" s="18">
        <f t="shared" si="355"/>
        <v>6867219.1800000006</v>
      </c>
      <c r="L1934" s="19">
        <f t="shared" si="356"/>
        <v>14900270</v>
      </c>
      <c r="M1934" s="20"/>
      <c r="N1934" s="20"/>
      <c r="O1934" s="81"/>
      <c r="P1934" s="85"/>
      <c r="Q1934" s="85"/>
      <c r="R1934" s="14"/>
      <c r="S1934" s="14"/>
    </row>
    <row r="1935" spans="2:19" ht="12.75" hidden="1" customHeight="1" x14ac:dyDescent="0.25">
      <c r="B1935" s="16">
        <v>43823.125</v>
      </c>
      <c r="C1935" s="50" t="s">
        <v>1840</v>
      </c>
      <c r="D1935" s="34"/>
      <c r="E1935" s="37">
        <v>7280000</v>
      </c>
      <c r="F1935" s="37"/>
      <c r="G1935" s="37">
        <f t="shared" si="354"/>
        <v>7280000</v>
      </c>
      <c r="H1935" s="64"/>
      <c r="I1935" s="64">
        <v>350473.05</v>
      </c>
      <c r="J1935" s="64">
        <v>62307.77</v>
      </c>
      <c r="K1935" s="18">
        <f t="shared" si="355"/>
        <v>6867219.1800000006</v>
      </c>
      <c r="L1935" s="19">
        <f t="shared" si="356"/>
        <v>7620270</v>
      </c>
      <c r="M1935" s="20"/>
      <c r="N1935" s="20"/>
      <c r="O1935" s="81"/>
      <c r="P1935" s="85"/>
      <c r="Q1935" s="85"/>
      <c r="R1935" s="14"/>
      <c r="S1935" s="14"/>
    </row>
    <row r="1936" spans="2:19" ht="12.75" hidden="1" customHeight="1" x14ac:dyDescent="0.25">
      <c r="B1936" s="16">
        <v>43825.125</v>
      </c>
      <c r="C1936" s="50" t="s">
        <v>1841</v>
      </c>
      <c r="D1936" s="34"/>
      <c r="E1936" s="37">
        <v>834800</v>
      </c>
      <c r="F1936" s="37"/>
      <c r="G1936" s="37">
        <f t="shared" si="354"/>
        <v>834800</v>
      </c>
      <c r="H1936" s="64"/>
      <c r="I1936" s="64">
        <v>161746.76</v>
      </c>
      <c r="J1936" s="64">
        <v>8064.17</v>
      </c>
      <c r="K1936" s="18">
        <f t="shared" si="355"/>
        <v>664989.06999999995</v>
      </c>
      <c r="L1936" s="19">
        <f t="shared" si="356"/>
        <v>6785470</v>
      </c>
      <c r="M1936" s="20"/>
      <c r="N1936" s="20"/>
      <c r="O1936" s="81"/>
      <c r="P1936" s="85"/>
      <c r="Q1936" s="85"/>
      <c r="R1936" s="14"/>
      <c r="S1936" s="14"/>
    </row>
    <row r="1937" spans="2:19" ht="12.75" hidden="1" customHeight="1" x14ac:dyDescent="0.25">
      <c r="B1937" s="16">
        <v>43825.125</v>
      </c>
      <c r="C1937" s="50" t="s">
        <v>1842</v>
      </c>
      <c r="D1937" s="34"/>
      <c r="E1937" s="37">
        <v>1309760</v>
      </c>
      <c r="F1937" s="37"/>
      <c r="G1937" s="37">
        <f t="shared" si="354"/>
        <v>1309760</v>
      </c>
      <c r="H1937" s="64"/>
      <c r="I1937" s="64"/>
      <c r="J1937" s="64">
        <v>6238.43</v>
      </c>
      <c r="K1937" s="18">
        <f t="shared" si="355"/>
        <v>1303521.57</v>
      </c>
      <c r="L1937" s="19">
        <f t="shared" si="356"/>
        <v>5475710</v>
      </c>
      <c r="M1937" s="20"/>
      <c r="N1937" s="20"/>
      <c r="O1937" s="81"/>
      <c r="P1937" s="85"/>
      <c r="Q1937" s="85"/>
      <c r="R1937" s="14"/>
      <c r="S1937" s="14"/>
    </row>
    <row r="1938" spans="2:19" ht="12.75" hidden="1" customHeight="1" x14ac:dyDescent="0.25">
      <c r="B1938" s="16"/>
      <c r="C1938" s="50" t="s">
        <v>654</v>
      </c>
      <c r="D1938" s="34"/>
      <c r="E1938" s="37">
        <v>5475710</v>
      </c>
      <c r="F1938" s="37"/>
      <c r="G1938" s="37"/>
      <c r="H1938" s="64"/>
      <c r="I1938" s="64"/>
      <c r="J1938" s="64"/>
      <c r="K1938" s="18"/>
      <c r="L1938" s="19">
        <f>+L1937-E1938</f>
        <v>0</v>
      </c>
      <c r="M1938" s="20"/>
      <c r="N1938" s="20"/>
      <c r="O1938" s="81"/>
      <c r="P1938" s="85"/>
      <c r="Q1938" s="85"/>
      <c r="R1938" s="14"/>
      <c r="S1938" s="14"/>
    </row>
    <row r="1939" spans="2:19" ht="15" hidden="1" x14ac:dyDescent="0.25">
      <c r="B1939" s="9" t="s">
        <v>1843</v>
      </c>
      <c r="C1939" s="10"/>
      <c r="D1939" s="11">
        <v>68400000</v>
      </c>
      <c r="E1939" s="11">
        <f>+D1939</f>
        <v>68400000</v>
      </c>
      <c r="F1939" s="11"/>
      <c r="G1939" s="11"/>
      <c r="H1939" s="11"/>
      <c r="I1939" s="11"/>
      <c r="J1939" s="11"/>
      <c r="K1939" s="11"/>
      <c r="L1939" s="11">
        <f>+D1939</f>
        <v>68400000</v>
      </c>
      <c r="M1939" s="12"/>
      <c r="N1939" s="12"/>
      <c r="P1939" s="55"/>
      <c r="Q1939" s="55"/>
      <c r="R1939" s="14"/>
      <c r="S1939" s="14"/>
    </row>
    <row r="1940" spans="2:19" ht="12.75" hidden="1" customHeight="1" x14ac:dyDescent="0.25">
      <c r="B1940" s="16">
        <v>43635.083333333336</v>
      </c>
      <c r="C1940" s="50" t="s">
        <v>1844</v>
      </c>
      <c r="D1940" s="34"/>
      <c r="E1940" s="37">
        <v>4380000</v>
      </c>
      <c r="F1940" s="37"/>
      <c r="G1940" s="37">
        <f t="shared" ref="G1940:G1947" si="357">+E1940</f>
        <v>4380000</v>
      </c>
      <c r="H1940" s="64"/>
      <c r="I1940" s="64"/>
      <c r="J1940" s="64">
        <v>37487.370000000003</v>
      </c>
      <c r="K1940" s="18">
        <f t="shared" ref="K1940:K1947" si="358">+G1940-H1940-I1940-J1940</f>
        <v>4342512.63</v>
      </c>
      <c r="L1940" s="19">
        <f t="shared" ref="L1940:L1947" si="359">+L1939-G1940</f>
        <v>64020000</v>
      </c>
      <c r="M1940" s="20"/>
      <c r="N1940" s="20"/>
      <c r="O1940" s="81">
        <f>+L1948-'[1]ANEXO 7 - PPTO VIG 2019'!T40</f>
        <v>0</v>
      </c>
      <c r="P1940" s="55"/>
      <c r="Q1940" s="55"/>
      <c r="R1940" s="14"/>
      <c r="S1940" s="14"/>
    </row>
    <row r="1941" spans="2:19" ht="12.75" hidden="1" customHeight="1" x14ac:dyDescent="0.25">
      <c r="B1941" s="16">
        <v>43655.083333333336</v>
      </c>
      <c r="C1941" s="50" t="s">
        <v>1845</v>
      </c>
      <c r="D1941" s="34"/>
      <c r="E1941" s="37">
        <v>7300000</v>
      </c>
      <c r="F1941" s="37"/>
      <c r="G1941" s="37">
        <f t="shared" si="357"/>
        <v>7300000</v>
      </c>
      <c r="H1941" s="64"/>
      <c r="I1941" s="64">
        <v>352998.14</v>
      </c>
      <c r="J1941" s="64">
        <v>62478.95</v>
      </c>
      <c r="K1941" s="18">
        <f t="shared" si="358"/>
        <v>6884522.9100000001</v>
      </c>
      <c r="L1941" s="19">
        <f t="shared" si="359"/>
        <v>56720000</v>
      </c>
      <c r="M1941" s="20"/>
      <c r="N1941" s="20"/>
      <c r="O1941" s="81"/>
      <c r="P1941" s="55"/>
      <c r="Q1941" s="55"/>
      <c r="R1941" s="14"/>
      <c r="S1941" s="14"/>
    </row>
    <row r="1942" spans="2:19" ht="12.75" hidden="1" customHeight="1" x14ac:dyDescent="0.25">
      <c r="B1942" s="16">
        <v>43689.083333333336</v>
      </c>
      <c r="C1942" s="50" t="s">
        <v>1846</v>
      </c>
      <c r="D1942" s="34"/>
      <c r="E1942" s="37">
        <v>7300000</v>
      </c>
      <c r="F1942" s="37"/>
      <c r="G1942" s="37">
        <f t="shared" si="357"/>
        <v>7300000</v>
      </c>
      <c r="H1942" s="64"/>
      <c r="I1942" s="64">
        <v>352998.14</v>
      </c>
      <c r="J1942" s="64">
        <v>62478.95</v>
      </c>
      <c r="K1942" s="18">
        <f t="shared" si="358"/>
        <v>6884522.9100000001</v>
      </c>
      <c r="L1942" s="19">
        <f t="shared" si="359"/>
        <v>49420000</v>
      </c>
      <c r="M1942" s="20"/>
      <c r="N1942" s="20"/>
      <c r="O1942" s="81"/>
      <c r="P1942" s="85"/>
      <c r="Q1942" s="85"/>
      <c r="R1942" s="14"/>
      <c r="S1942" s="14"/>
    </row>
    <row r="1943" spans="2:19" ht="12.75" hidden="1" customHeight="1" x14ac:dyDescent="0.25">
      <c r="B1943" s="16">
        <v>43707.083333333336</v>
      </c>
      <c r="C1943" s="50" t="s">
        <v>1847</v>
      </c>
      <c r="D1943" s="34"/>
      <c r="E1943" s="37">
        <v>7300000</v>
      </c>
      <c r="F1943" s="37"/>
      <c r="G1943" s="37">
        <f t="shared" si="357"/>
        <v>7300000</v>
      </c>
      <c r="H1943" s="64"/>
      <c r="I1943" s="64">
        <v>352998.14</v>
      </c>
      <c r="J1943" s="64">
        <v>62478.95</v>
      </c>
      <c r="K1943" s="18">
        <f t="shared" si="358"/>
        <v>6884522.9100000001</v>
      </c>
      <c r="L1943" s="19">
        <f t="shared" si="359"/>
        <v>42120000</v>
      </c>
      <c r="M1943" s="20"/>
      <c r="N1943" s="20"/>
      <c r="O1943" s="81"/>
      <c r="P1943" s="85"/>
      <c r="Q1943" s="85"/>
      <c r="R1943" s="14"/>
      <c r="S1943" s="14"/>
    </row>
    <row r="1944" spans="2:19" ht="12.75" hidden="1" customHeight="1" x14ac:dyDescent="0.25">
      <c r="B1944" s="89">
        <v>43741.083333333336</v>
      </c>
      <c r="C1944" s="90" t="s">
        <v>1848</v>
      </c>
      <c r="D1944" s="34"/>
      <c r="E1944" s="37">
        <v>7300000</v>
      </c>
      <c r="F1944" s="37"/>
      <c r="G1944" s="37">
        <f t="shared" si="357"/>
        <v>7300000</v>
      </c>
      <c r="H1944" s="64"/>
      <c r="I1944" s="64">
        <v>352998.14</v>
      </c>
      <c r="J1944" s="64">
        <v>62478.95</v>
      </c>
      <c r="K1944" s="18">
        <f t="shared" si="358"/>
        <v>6884522.9100000001</v>
      </c>
      <c r="L1944" s="19">
        <f t="shared" si="359"/>
        <v>34820000</v>
      </c>
      <c r="M1944" s="20"/>
      <c r="N1944" s="20"/>
      <c r="O1944" s="81"/>
      <c r="P1944" s="85"/>
      <c r="Q1944" s="85"/>
      <c r="R1944" s="14"/>
      <c r="S1944" s="14"/>
    </row>
    <row r="1945" spans="2:19" ht="12.75" hidden="1" customHeight="1" x14ac:dyDescent="0.25">
      <c r="B1945" s="89">
        <v>43777.125</v>
      </c>
      <c r="C1945" s="90" t="s">
        <v>1849</v>
      </c>
      <c r="D1945" s="34"/>
      <c r="E1945" s="37">
        <v>7300000</v>
      </c>
      <c r="F1945" s="37"/>
      <c r="G1945" s="37">
        <f t="shared" si="357"/>
        <v>7300000</v>
      </c>
      <c r="H1945" s="64"/>
      <c r="I1945" s="64">
        <v>352998.14</v>
      </c>
      <c r="J1945" s="64">
        <v>62478.95</v>
      </c>
      <c r="K1945" s="18">
        <f t="shared" si="358"/>
        <v>6884522.9100000001</v>
      </c>
      <c r="L1945" s="19">
        <f t="shared" si="359"/>
        <v>27520000</v>
      </c>
      <c r="M1945" s="20"/>
      <c r="N1945" s="20"/>
      <c r="O1945" s="81"/>
      <c r="P1945" s="85"/>
      <c r="Q1945" s="85"/>
      <c r="R1945" s="14"/>
      <c r="S1945" s="14"/>
    </row>
    <row r="1946" spans="2:19" ht="12.75" hidden="1" customHeight="1" x14ac:dyDescent="0.25">
      <c r="B1946" s="89">
        <v>43802.125</v>
      </c>
      <c r="C1946" s="90" t="s">
        <v>1850</v>
      </c>
      <c r="D1946" s="34"/>
      <c r="E1946" s="37">
        <v>7300000</v>
      </c>
      <c r="F1946" s="37"/>
      <c r="G1946" s="37">
        <f t="shared" si="357"/>
        <v>7300000</v>
      </c>
      <c r="H1946" s="64"/>
      <c r="I1946" s="64">
        <v>352998.14</v>
      </c>
      <c r="J1946" s="64">
        <v>62478.95</v>
      </c>
      <c r="K1946" s="18">
        <f t="shared" si="358"/>
        <v>6884522.9100000001</v>
      </c>
      <c r="L1946" s="19">
        <f t="shared" si="359"/>
        <v>20220000</v>
      </c>
      <c r="M1946" s="20"/>
      <c r="N1946" s="20"/>
      <c r="O1946" s="81"/>
      <c r="P1946" s="85"/>
      <c r="Q1946" s="85"/>
      <c r="R1946" s="14"/>
      <c r="S1946" s="14"/>
    </row>
    <row r="1947" spans="2:19" ht="12.75" hidden="1" customHeight="1" x14ac:dyDescent="0.25">
      <c r="B1947" s="89">
        <v>43823.125</v>
      </c>
      <c r="C1947" s="90" t="s">
        <v>1851</v>
      </c>
      <c r="D1947" s="34"/>
      <c r="E1947" s="37">
        <v>7300000</v>
      </c>
      <c r="F1947" s="37"/>
      <c r="G1947" s="37">
        <f t="shared" si="357"/>
        <v>7300000</v>
      </c>
      <c r="H1947" s="64"/>
      <c r="I1947" s="64">
        <v>352998.14</v>
      </c>
      <c r="J1947" s="64">
        <v>62478.95</v>
      </c>
      <c r="K1947" s="18">
        <f t="shared" si="358"/>
        <v>6884522.9100000001</v>
      </c>
      <c r="L1947" s="19">
        <f t="shared" si="359"/>
        <v>12920000</v>
      </c>
      <c r="M1947" s="20"/>
      <c r="N1947" s="20"/>
      <c r="O1947" s="81"/>
      <c r="P1947" s="85"/>
      <c r="Q1947" s="85"/>
      <c r="R1947" s="14"/>
      <c r="S1947" s="14"/>
    </row>
    <row r="1948" spans="2:19" ht="12.75" hidden="1" customHeight="1" x14ac:dyDescent="0.25">
      <c r="B1948" s="89"/>
      <c r="C1948" s="90" t="s">
        <v>654</v>
      </c>
      <c r="D1948" s="34"/>
      <c r="E1948" s="37">
        <v>12920000</v>
      </c>
      <c r="F1948" s="37"/>
      <c r="G1948" s="37"/>
      <c r="H1948" s="64"/>
      <c r="I1948" s="64"/>
      <c r="J1948" s="64"/>
      <c r="K1948" s="18"/>
      <c r="L1948" s="19">
        <f>+L1947-E1948</f>
        <v>0</v>
      </c>
      <c r="M1948" s="20"/>
      <c r="N1948" s="20"/>
      <c r="O1948" s="81"/>
      <c r="P1948" s="85"/>
      <c r="Q1948" s="85"/>
      <c r="R1948" s="14"/>
      <c r="S1948" s="14"/>
    </row>
    <row r="1949" spans="2:19" ht="15" hidden="1" x14ac:dyDescent="0.25">
      <c r="B1949" s="9" t="s">
        <v>1852</v>
      </c>
      <c r="C1949" s="10"/>
      <c r="D1949" s="11">
        <v>45344000</v>
      </c>
      <c r="E1949" s="11">
        <f>+D1949</f>
        <v>45344000</v>
      </c>
      <c r="F1949" s="11"/>
      <c r="G1949" s="11"/>
      <c r="H1949" s="11"/>
      <c r="I1949" s="11"/>
      <c r="J1949" s="11"/>
      <c r="K1949" s="11"/>
      <c r="L1949" s="11">
        <f>+D1949</f>
        <v>45344000</v>
      </c>
      <c r="M1949" s="12"/>
      <c r="N1949" s="12"/>
      <c r="P1949" s="55"/>
      <c r="Q1949" s="55"/>
      <c r="R1949" s="14"/>
      <c r="S1949" s="14"/>
    </row>
    <row r="1950" spans="2:19" ht="12.75" hidden="1" customHeight="1" x14ac:dyDescent="0.25">
      <c r="B1950" s="16">
        <v>43655.083333333336</v>
      </c>
      <c r="C1950" s="50" t="s">
        <v>1853</v>
      </c>
      <c r="D1950" s="34"/>
      <c r="E1950" s="37">
        <v>1664000</v>
      </c>
      <c r="F1950" s="37"/>
      <c r="G1950" s="37">
        <f t="shared" ref="G1950:G1957" si="360">+E1950</f>
        <v>1664000</v>
      </c>
      <c r="H1950" s="64"/>
      <c r="I1950" s="64"/>
      <c r="J1950" s="64">
        <v>14241.78</v>
      </c>
      <c r="K1950" s="18">
        <f t="shared" ref="K1950:K1957" si="361">+G1950-H1950-I1950-J1950</f>
        <v>1649758.22</v>
      </c>
      <c r="L1950" s="19">
        <f t="shared" ref="L1950:L1957" si="362">+L1949-G1950</f>
        <v>43680000</v>
      </c>
      <c r="M1950" s="20"/>
      <c r="N1950" s="20"/>
      <c r="O1950" s="81">
        <f>+L1957-'[1]ANEXO 7 - PPTO VIG 2019'!T92</f>
        <v>0</v>
      </c>
      <c r="P1950" s="55"/>
      <c r="Q1950" s="55"/>
      <c r="R1950" s="14"/>
      <c r="S1950" s="14"/>
    </row>
    <row r="1951" spans="2:19" ht="12.75" hidden="1" customHeight="1" x14ac:dyDescent="0.25">
      <c r="B1951" s="16">
        <v>43665.083333333336</v>
      </c>
      <c r="C1951" s="50" t="s">
        <v>1854</v>
      </c>
      <c r="D1951" s="34"/>
      <c r="E1951" s="37">
        <v>6240000</v>
      </c>
      <c r="F1951" s="37"/>
      <c r="G1951" s="37">
        <f t="shared" si="360"/>
        <v>6240000</v>
      </c>
      <c r="H1951" s="64"/>
      <c r="I1951" s="64">
        <v>219481.36</v>
      </c>
      <c r="J1951" s="64">
        <v>53406.66</v>
      </c>
      <c r="K1951" s="18">
        <f t="shared" si="361"/>
        <v>5967111.9799999995</v>
      </c>
      <c r="L1951" s="19">
        <f t="shared" si="362"/>
        <v>37440000</v>
      </c>
      <c r="M1951" s="20"/>
      <c r="N1951" s="20"/>
      <c r="O1951" s="81"/>
      <c r="P1951" s="55"/>
      <c r="Q1951" s="55"/>
      <c r="R1951" s="14"/>
      <c r="S1951" s="14"/>
    </row>
    <row r="1952" spans="2:19" ht="12.75" hidden="1" customHeight="1" x14ac:dyDescent="0.25">
      <c r="B1952" s="16">
        <v>43692.083333333336</v>
      </c>
      <c r="C1952" s="50" t="s">
        <v>1855</v>
      </c>
      <c r="D1952" s="34"/>
      <c r="E1952" s="37">
        <v>6240000</v>
      </c>
      <c r="F1952" s="37"/>
      <c r="G1952" s="37">
        <f t="shared" si="360"/>
        <v>6240000</v>
      </c>
      <c r="H1952" s="64"/>
      <c r="I1952" s="64">
        <v>219481.36</v>
      </c>
      <c r="J1952" s="64">
        <v>53406.66</v>
      </c>
      <c r="K1952" s="18">
        <f t="shared" si="361"/>
        <v>5967111.9799999995</v>
      </c>
      <c r="L1952" s="19">
        <f t="shared" si="362"/>
        <v>31200000</v>
      </c>
      <c r="M1952" s="20"/>
      <c r="N1952" s="20"/>
      <c r="O1952" s="81"/>
      <c r="P1952" s="85"/>
      <c r="Q1952" s="85"/>
      <c r="R1952" s="14"/>
      <c r="S1952" s="14"/>
    </row>
    <row r="1953" spans="2:19" ht="12.75" hidden="1" customHeight="1" x14ac:dyDescent="0.25">
      <c r="B1953" s="16">
        <v>43710.083333333336</v>
      </c>
      <c r="C1953" s="50" t="s">
        <v>1856</v>
      </c>
      <c r="D1953" s="34"/>
      <c r="E1953" s="37">
        <v>6240000</v>
      </c>
      <c r="F1953" s="37"/>
      <c r="G1953" s="37">
        <f t="shared" si="360"/>
        <v>6240000</v>
      </c>
      <c r="H1953" s="64"/>
      <c r="I1953" s="64">
        <v>219481.36</v>
      </c>
      <c r="J1953" s="64">
        <v>53406.66</v>
      </c>
      <c r="K1953" s="18">
        <f t="shared" si="361"/>
        <v>5967111.9799999995</v>
      </c>
      <c r="L1953" s="19">
        <f t="shared" si="362"/>
        <v>24960000</v>
      </c>
      <c r="M1953" s="20"/>
      <c r="N1953" s="20"/>
      <c r="O1953" s="81"/>
      <c r="P1953" s="85"/>
      <c r="Q1953" s="85"/>
      <c r="R1953" s="14"/>
      <c r="S1953" s="14"/>
    </row>
    <row r="1954" spans="2:19" ht="12.75" hidden="1" customHeight="1" x14ac:dyDescent="0.25">
      <c r="B1954" s="16">
        <v>43754</v>
      </c>
      <c r="C1954" s="50" t="s">
        <v>1857</v>
      </c>
      <c r="D1954" s="34"/>
      <c r="E1954" s="37">
        <v>6240000</v>
      </c>
      <c r="F1954" s="37"/>
      <c r="G1954" s="37">
        <f t="shared" si="360"/>
        <v>6240000</v>
      </c>
      <c r="H1954" s="64"/>
      <c r="I1954" s="64">
        <v>219481.36</v>
      </c>
      <c r="J1954" s="64">
        <v>53406.66</v>
      </c>
      <c r="K1954" s="18">
        <f t="shared" si="361"/>
        <v>5967111.9799999995</v>
      </c>
      <c r="L1954" s="19">
        <f t="shared" si="362"/>
        <v>18720000</v>
      </c>
      <c r="M1954" s="20"/>
      <c r="N1954" s="20"/>
      <c r="O1954" s="81"/>
      <c r="P1954" s="85"/>
      <c r="Q1954" s="85"/>
      <c r="R1954" s="14"/>
      <c r="S1954" s="14"/>
    </row>
    <row r="1955" spans="2:19" ht="12.75" hidden="1" customHeight="1" x14ac:dyDescent="0.25">
      <c r="B1955" s="16">
        <v>43770.083333333336</v>
      </c>
      <c r="C1955" s="50" t="s">
        <v>1858</v>
      </c>
      <c r="D1955" s="34"/>
      <c r="E1955" s="37">
        <v>6240000</v>
      </c>
      <c r="F1955" s="37"/>
      <c r="G1955" s="37">
        <f t="shared" si="360"/>
        <v>6240000</v>
      </c>
      <c r="H1955" s="64"/>
      <c r="I1955" s="64">
        <v>219481.36</v>
      </c>
      <c r="J1955" s="64">
        <v>53406.66</v>
      </c>
      <c r="K1955" s="18">
        <f t="shared" si="361"/>
        <v>5967111.9799999995</v>
      </c>
      <c r="L1955" s="19">
        <f t="shared" si="362"/>
        <v>12480000</v>
      </c>
      <c r="M1955" s="20"/>
      <c r="N1955" s="20"/>
      <c r="O1955" s="81"/>
      <c r="P1955" s="85"/>
      <c r="Q1955" s="85"/>
      <c r="R1955" s="14"/>
      <c r="S1955" s="14"/>
    </row>
    <row r="1956" spans="2:19" ht="12.75" hidden="1" customHeight="1" x14ac:dyDescent="0.25">
      <c r="B1956" s="16">
        <v>43803.125</v>
      </c>
      <c r="C1956" s="50" t="s">
        <v>1859</v>
      </c>
      <c r="D1956" s="34"/>
      <c r="E1956" s="37">
        <v>6240000</v>
      </c>
      <c r="F1956" s="37"/>
      <c r="G1956" s="37">
        <f t="shared" si="360"/>
        <v>6240000</v>
      </c>
      <c r="H1956" s="64"/>
      <c r="I1956" s="64">
        <v>130561.37</v>
      </c>
      <c r="J1956" s="64">
        <v>53406.66</v>
      </c>
      <c r="K1956" s="18">
        <f t="shared" si="361"/>
        <v>6056031.9699999997</v>
      </c>
      <c r="L1956" s="19">
        <f t="shared" si="362"/>
        <v>6240000</v>
      </c>
      <c r="M1956" s="20"/>
      <c r="N1956" s="20"/>
      <c r="O1956" s="81"/>
      <c r="P1956" s="85"/>
      <c r="Q1956" s="85"/>
      <c r="R1956" s="14"/>
      <c r="S1956" s="14"/>
    </row>
    <row r="1957" spans="2:19" ht="12.75" hidden="1" customHeight="1" x14ac:dyDescent="0.25">
      <c r="B1957" s="16">
        <v>43825.125</v>
      </c>
      <c r="C1957" s="50" t="s">
        <v>1860</v>
      </c>
      <c r="D1957" s="34"/>
      <c r="E1957" s="37">
        <v>6240000</v>
      </c>
      <c r="F1957" s="37"/>
      <c r="G1957" s="37">
        <f t="shared" si="360"/>
        <v>6240000</v>
      </c>
      <c r="H1957" s="64"/>
      <c r="I1957" s="64">
        <v>130561.37</v>
      </c>
      <c r="J1957" s="64">
        <v>53406.66</v>
      </c>
      <c r="K1957" s="18">
        <f t="shared" si="361"/>
        <v>6056031.9699999997</v>
      </c>
      <c r="L1957" s="19">
        <f t="shared" si="362"/>
        <v>0</v>
      </c>
      <c r="M1957" s="20"/>
      <c r="N1957" s="20"/>
      <c r="O1957" s="81"/>
      <c r="P1957" s="85"/>
      <c r="Q1957" s="85"/>
      <c r="R1957" s="14"/>
      <c r="S1957" s="14"/>
    </row>
    <row r="1958" spans="2:19" ht="15" hidden="1" x14ac:dyDescent="0.25">
      <c r="B1958" s="9" t="s">
        <v>1861</v>
      </c>
      <c r="C1958" s="10"/>
      <c r="D1958" s="11">
        <v>52250000</v>
      </c>
      <c r="E1958" s="11">
        <f>+D1958</f>
        <v>52250000</v>
      </c>
      <c r="F1958" s="11"/>
      <c r="G1958" s="11"/>
      <c r="H1958" s="11"/>
      <c r="I1958" s="11"/>
      <c r="J1958" s="11"/>
      <c r="K1958" s="11"/>
      <c r="L1958" s="11">
        <f>+D1958</f>
        <v>52250000</v>
      </c>
      <c r="M1958" s="12"/>
      <c r="N1958" s="12"/>
      <c r="P1958" s="55"/>
      <c r="Q1958" s="55"/>
      <c r="R1958" s="14"/>
      <c r="S1958" s="14"/>
    </row>
    <row r="1959" spans="2:19" ht="12.75" hidden="1" customHeight="1" x14ac:dyDescent="0.25">
      <c r="B1959" s="16">
        <v>43655.083333333336</v>
      </c>
      <c r="C1959" s="50" t="s">
        <v>1862</v>
      </c>
      <c r="D1959" s="34"/>
      <c r="E1959" s="37">
        <v>300000</v>
      </c>
      <c r="F1959" s="37"/>
      <c r="G1959" s="37">
        <f t="shared" ref="G1959:G1973" si="363">+E1959</f>
        <v>300000</v>
      </c>
      <c r="H1959" s="64"/>
      <c r="I1959" s="64"/>
      <c r="J1959" s="64">
        <v>2567.63</v>
      </c>
      <c r="K1959" s="18">
        <f t="shared" ref="K1959:K1973" si="364">+G1959-H1959-I1959-J1959</f>
        <v>297432.37</v>
      </c>
      <c r="L1959" s="19">
        <f t="shared" ref="L1959:L1973" si="365">+L1958-G1959</f>
        <v>51950000</v>
      </c>
      <c r="M1959" s="20"/>
      <c r="N1959" s="20"/>
      <c r="O1959" s="81">
        <f>+L1974-'[1]ANEXO 7 - PPTO VIG 2019'!T93</f>
        <v>0</v>
      </c>
      <c r="P1959" s="55"/>
      <c r="Q1959" s="55"/>
      <c r="R1959" s="14"/>
      <c r="S1959" s="14"/>
    </row>
    <row r="1960" spans="2:19" ht="12.75" hidden="1" customHeight="1" x14ac:dyDescent="0.25">
      <c r="B1960" s="16">
        <v>43661.083333333336</v>
      </c>
      <c r="C1960" s="50" t="s">
        <v>1863</v>
      </c>
      <c r="D1960" s="34"/>
      <c r="E1960" s="37">
        <v>4500000</v>
      </c>
      <c r="F1960" s="37"/>
      <c r="G1960" s="37">
        <f t="shared" si="363"/>
        <v>4500000</v>
      </c>
      <c r="H1960" s="64"/>
      <c r="I1960" s="64">
        <v>324.91000000000003</v>
      </c>
      <c r="J1960" s="64">
        <v>38514.42</v>
      </c>
      <c r="K1960" s="18">
        <f t="shared" si="364"/>
        <v>4461160.67</v>
      </c>
      <c r="L1960" s="19">
        <f t="shared" si="365"/>
        <v>47450000</v>
      </c>
      <c r="M1960" s="20"/>
      <c r="N1960" s="20"/>
      <c r="O1960" s="81"/>
      <c r="P1960" s="55"/>
      <c r="Q1960" s="55"/>
      <c r="R1960" s="14"/>
      <c r="S1960" s="14"/>
    </row>
    <row r="1961" spans="2:19" ht="12.75" hidden="1" customHeight="1" x14ac:dyDescent="0.25">
      <c r="B1961" s="16">
        <v>43662.083333333336</v>
      </c>
      <c r="C1961" s="50" t="s">
        <v>1864</v>
      </c>
      <c r="D1961" s="34"/>
      <c r="E1961" s="37">
        <v>1782140</v>
      </c>
      <c r="F1961" s="37"/>
      <c r="G1961" s="37">
        <f t="shared" si="363"/>
        <v>1782140</v>
      </c>
      <c r="H1961" s="64"/>
      <c r="I1961" s="64">
        <v>253954.92</v>
      </c>
      <c r="J1961" s="64">
        <v>17215.47</v>
      </c>
      <c r="K1961" s="18">
        <f t="shared" si="364"/>
        <v>1510969.61</v>
      </c>
      <c r="L1961" s="19">
        <f t="shared" si="365"/>
        <v>45667860</v>
      </c>
      <c r="M1961" s="20"/>
      <c r="N1961" s="20"/>
      <c r="O1961" s="81"/>
      <c r="P1961" s="55"/>
      <c r="Q1961" s="55"/>
      <c r="R1961" s="14"/>
      <c r="S1961" s="14"/>
    </row>
    <row r="1962" spans="2:19" ht="12.75" hidden="1" customHeight="1" x14ac:dyDescent="0.25">
      <c r="B1962" s="16">
        <v>43685.083333333336</v>
      </c>
      <c r="C1962" s="50" t="s">
        <v>1865</v>
      </c>
      <c r="D1962" s="34"/>
      <c r="E1962" s="37">
        <v>4500000</v>
      </c>
      <c r="F1962" s="37"/>
      <c r="G1962" s="37">
        <f t="shared" si="363"/>
        <v>4500000</v>
      </c>
      <c r="H1962" s="64"/>
      <c r="I1962" s="64">
        <v>324.91000000000003</v>
      </c>
      <c r="J1962" s="64">
        <v>38514.42</v>
      </c>
      <c r="K1962" s="18">
        <f t="shared" si="364"/>
        <v>4461160.67</v>
      </c>
      <c r="L1962" s="19">
        <f t="shared" si="365"/>
        <v>41167860</v>
      </c>
      <c r="M1962" s="20"/>
      <c r="N1962" s="20"/>
      <c r="O1962" s="81"/>
      <c r="P1962" s="85"/>
      <c r="Q1962" s="85"/>
      <c r="R1962" s="14"/>
      <c r="S1962" s="14"/>
    </row>
    <row r="1963" spans="2:19" ht="12.75" hidden="1" customHeight="1" x14ac:dyDescent="0.25">
      <c r="B1963" s="16">
        <v>43686.083333333336</v>
      </c>
      <c r="C1963" s="50" t="s">
        <v>1866</v>
      </c>
      <c r="D1963" s="34"/>
      <c r="E1963" s="37">
        <v>2839390</v>
      </c>
      <c r="F1963" s="37"/>
      <c r="G1963" s="37">
        <f t="shared" si="363"/>
        <v>2839390</v>
      </c>
      <c r="H1963" s="64"/>
      <c r="I1963" s="64">
        <v>175892.01</v>
      </c>
      <c r="J1963" s="64">
        <v>11923.63</v>
      </c>
      <c r="K1963" s="18">
        <f t="shared" si="364"/>
        <v>2651574.3600000003</v>
      </c>
      <c r="L1963" s="19">
        <f t="shared" si="365"/>
        <v>38328470</v>
      </c>
      <c r="M1963" s="20"/>
      <c r="N1963" s="20"/>
      <c r="O1963" s="81"/>
      <c r="P1963" s="85"/>
      <c r="Q1963" s="85"/>
      <c r="R1963" s="14"/>
      <c r="S1963" s="14"/>
    </row>
    <row r="1964" spans="2:19" ht="12.75" hidden="1" customHeight="1" x14ac:dyDescent="0.25">
      <c r="B1964" s="16">
        <v>43710.083333333336</v>
      </c>
      <c r="C1964" s="50" t="s">
        <v>1867</v>
      </c>
      <c r="D1964" s="34"/>
      <c r="E1964" s="37">
        <v>4500000</v>
      </c>
      <c r="F1964" s="37"/>
      <c r="G1964" s="37">
        <f t="shared" si="363"/>
        <v>4500000</v>
      </c>
      <c r="H1964" s="64"/>
      <c r="I1964" s="64">
        <v>324.91000000000003</v>
      </c>
      <c r="J1964" s="64">
        <v>38514.42</v>
      </c>
      <c r="K1964" s="18">
        <f t="shared" si="364"/>
        <v>4461160.67</v>
      </c>
      <c r="L1964" s="19">
        <f t="shared" si="365"/>
        <v>33828470</v>
      </c>
      <c r="M1964" s="20"/>
      <c r="N1964" s="20"/>
      <c r="O1964" s="81"/>
      <c r="P1964" s="85"/>
      <c r="Q1964" s="85"/>
      <c r="R1964" s="14"/>
      <c r="S1964" s="14"/>
    </row>
    <row r="1965" spans="2:19" ht="12.75" hidden="1" customHeight="1" x14ac:dyDescent="0.25">
      <c r="B1965" s="16">
        <v>43718.083333333336</v>
      </c>
      <c r="C1965" s="50" t="s">
        <v>1868</v>
      </c>
      <c r="D1965" s="34"/>
      <c r="E1965" s="37">
        <v>3392665</v>
      </c>
      <c r="F1965" s="37"/>
      <c r="G1965" s="37">
        <f t="shared" si="363"/>
        <v>3392665</v>
      </c>
      <c r="H1965" s="64"/>
      <c r="I1965" s="64"/>
      <c r="J1965" s="64">
        <v>17547.34</v>
      </c>
      <c r="K1965" s="18">
        <f t="shared" si="364"/>
        <v>3375117.66</v>
      </c>
      <c r="L1965" s="19">
        <f t="shared" si="365"/>
        <v>30435805</v>
      </c>
      <c r="M1965" s="20"/>
      <c r="N1965" s="20"/>
      <c r="O1965" s="81"/>
      <c r="P1965" s="85"/>
      <c r="Q1965" s="85"/>
      <c r="R1965" s="14"/>
      <c r="S1965" s="14"/>
    </row>
    <row r="1966" spans="2:19" ht="12.75" hidden="1" customHeight="1" x14ac:dyDescent="0.25">
      <c r="B1966" s="89">
        <v>43754.083333333336</v>
      </c>
      <c r="C1966" s="90" t="s">
        <v>1869</v>
      </c>
      <c r="D1966" s="34"/>
      <c r="E1966" s="37">
        <v>4500000</v>
      </c>
      <c r="F1966" s="37"/>
      <c r="G1966" s="37">
        <f t="shared" si="363"/>
        <v>4500000</v>
      </c>
      <c r="H1966" s="64"/>
      <c r="I1966" s="64">
        <v>324.91000000000003</v>
      </c>
      <c r="J1966" s="64">
        <v>38514.42</v>
      </c>
      <c r="K1966" s="18">
        <f t="shared" si="364"/>
        <v>4461160.67</v>
      </c>
      <c r="L1966" s="19">
        <f t="shared" si="365"/>
        <v>25935805</v>
      </c>
      <c r="M1966" s="20"/>
      <c r="N1966" s="20"/>
      <c r="O1966" s="81"/>
      <c r="P1966" s="85"/>
      <c r="Q1966" s="85"/>
      <c r="R1966" s="14"/>
      <c r="S1966" s="14"/>
    </row>
    <row r="1967" spans="2:19" ht="12.75" hidden="1" customHeight="1" x14ac:dyDescent="0.25">
      <c r="B1967" s="89">
        <v>43754.083333333336</v>
      </c>
      <c r="C1967" s="90" t="s">
        <v>1870</v>
      </c>
      <c r="D1967" s="34"/>
      <c r="E1967" s="37">
        <v>2657352</v>
      </c>
      <c r="F1967" s="37"/>
      <c r="G1967" s="37">
        <f t="shared" si="363"/>
        <v>2657352</v>
      </c>
      <c r="H1967" s="64"/>
      <c r="I1967" s="64">
        <v>233694.57</v>
      </c>
      <c r="J1967" s="64">
        <v>15842.03</v>
      </c>
      <c r="K1967" s="18">
        <f t="shared" si="364"/>
        <v>2407815.4000000004</v>
      </c>
      <c r="L1967" s="19">
        <f t="shared" si="365"/>
        <v>23278453</v>
      </c>
      <c r="M1967" s="20"/>
      <c r="N1967" s="20"/>
      <c r="O1967" s="81"/>
      <c r="P1967" s="85"/>
      <c r="Q1967" s="85"/>
      <c r="R1967" s="14"/>
      <c r="S1967" s="14"/>
    </row>
    <row r="1968" spans="2:19" ht="12.75" hidden="1" customHeight="1" x14ac:dyDescent="0.25">
      <c r="B1968" s="89">
        <v>43770.083333333336</v>
      </c>
      <c r="C1968" s="90" t="s">
        <v>1871</v>
      </c>
      <c r="D1968" s="34"/>
      <c r="E1968" s="37">
        <v>4500000</v>
      </c>
      <c r="F1968" s="37"/>
      <c r="G1968" s="37">
        <f t="shared" si="363"/>
        <v>4500000</v>
      </c>
      <c r="H1968" s="64"/>
      <c r="I1968" s="64">
        <v>324.91000000000003</v>
      </c>
      <c r="J1968" s="64">
        <v>38514.42</v>
      </c>
      <c r="K1968" s="18">
        <f t="shared" si="364"/>
        <v>4461160.67</v>
      </c>
      <c r="L1968" s="19">
        <f t="shared" si="365"/>
        <v>18778453</v>
      </c>
      <c r="M1968" s="20"/>
      <c r="N1968" s="20"/>
      <c r="O1968" s="81"/>
      <c r="P1968" s="85"/>
      <c r="Q1968" s="85"/>
      <c r="R1968" s="14"/>
      <c r="S1968" s="14"/>
    </row>
    <row r="1969" spans="2:19" ht="12.75" hidden="1" customHeight="1" x14ac:dyDescent="0.25">
      <c r="B1969" s="89">
        <v>43770.083333333336</v>
      </c>
      <c r="C1969" s="90" t="s">
        <v>1872</v>
      </c>
      <c r="D1969" s="34"/>
      <c r="E1969" s="37">
        <v>2653350</v>
      </c>
      <c r="F1969" s="37"/>
      <c r="G1969" s="37">
        <f t="shared" si="363"/>
        <v>2653350</v>
      </c>
      <c r="H1969" s="64"/>
      <c r="I1969" s="64">
        <v>181307.01</v>
      </c>
      <c r="J1969" s="64">
        <v>12290.71</v>
      </c>
      <c r="K1969" s="18">
        <f t="shared" si="364"/>
        <v>2459752.2800000003</v>
      </c>
      <c r="L1969" s="19">
        <f t="shared" si="365"/>
        <v>16125103</v>
      </c>
      <c r="M1969" s="20"/>
      <c r="N1969" s="20"/>
      <c r="O1969" s="81"/>
      <c r="P1969" s="85"/>
      <c r="Q1969" s="85"/>
      <c r="R1969" s="14"/>
      <c r="S1969" s="14"/>
    </row>
    <row r="1970" spans="2:19" ht="12.75" hidden="1" customHeight="1" x14ac:dyDescent="0.25">
      <c r="B1970" s="89">
        <v>43802.125</v>
      </c>
      <c r="C1970" s="90" t="s">
        <v>1873</v>
      </c>
      <c r="D1970" s="34"/>
      <c r="E1970" s="37">
        <v>4500000</v>
      </c>
      <c r="F1970" s="37"/>
      <c r="G1970" s="37">
        <f t="shared" si="363"/>
        <v>4500000</v>
      </c>
      <c r="H1970" s="64"/>
      <c r="I1970" s="64">
        <v>324.91000000000003</v>
      </c>
      <c r="J1970" s="64">
        <v>38514.42</v>
      </c>
      <c r="K1970" s="18">
        <f t="shared" si="364"/>
        <v>4461160.67</v>
      </c>
      <c r="L1970" s="19">
        <f t="shared" si="365"/>
        <v>11625103</v>
      </c>
      <c r="M1970" s="20"/>
      <c r="N1970" s="20"/>
      <c r="O1970" s="81"/>
      <c r="P1970" s="85"/>
      <c r="Q1970" s="85"/>
      <c r="R1970" s="14"/>
      <c r="S1970" s="14"/>
    </row>
    <row r="1971" spans="2:19" ht="12.75" hidden="1" customHeight="1" x14ac:dyDescent="0.25">
      <c r="B1971" s="89">
        <v>43822.125</v>
      </c>
      <c r="C1971" s="90" t="s">
        <v>1874</v>
      </c>
      <c r="D1971" s="34"/>
      <c r="E1971" s="37">
        <v>4273240</v>
      </c>
      <c r="F1971" s="37"/>
      <c r="G1971" s="37">
        <f t="shared" si="363"/>
        <v>4273240</v>
      </c>
      <c r="H1971" s="64"/>
      <c r="I1971" s="64">
        <v>338959.05</v>
      </c>
      <c r="J1971" s="64">
        <v>22977.86</v>
      </c>
      <c r="K1971" s="18">
        <f t="shared" si="364"/>
        <v>3911303.0900000003</v>
      </c>
      <c r="L1971" s="19">
        <f t="shared" si="365"/>
        <v>7351863</v>
      </c>
      <c r="M1971" s="20"/>
      <c r="N1971" s="20"/>
      <c r="O1971" s="81"/>
      <c r="P1971" s="85"/>
      <c r="Q1971" s="85"/>
      <c r="R1971" s="14"/>
      <c r="S1971" s="14"/>
    </row>
    <row r="1972" spans="2:19" ht="12.75" hidden="1" customHeight="1" x14ac:dyDescent="0.25">
      <c r="B1972" s="89">
        <v>43823.125</v>
      </c>
      <c r="C1972" s="90" t="s">
        <v>1875</v>
      </c>
      <c r="D1972" s="34"/>
      <c r="E1972" s="37">
        <v>1201265</v>
      </c>
      <c r="F1972" s="37"/>
      <c r="G1972" s="37">
        <f t="shared" si="363"/>
        <v>1201265</v>
      </c>
      <c r="H1972" s="64"/>
      <c r="I1972" s="64"/>
      <c r="J1972" s="64">
        <v>5527.11</v>
      </c>
      <c r="K1972" s="18">
        <f t="shared" si="364"/>
        <v>1195737.8899999999</v>
      </c>
      <c r="L1972" s="19">
        <f t="shared" si="365"/>
        <v>6150598</v>
      </c>
      <c r="M1972" s="20"/>
      <c r="N1972" s="20"/>
      <c r="O1972" s="81"/>
      <c r="P1972" s="85"/>
      <c r="Q1972" s="85"/>
      <c r="R1972" s="14"/>
      <c r="S1972" s="14"/>
    </row>
    <row r="1973" spans="2:19" ht="12.75" hidden="1" customHeight="1" x14ac:dyDescent="0.25">
      <c r="B1973" s="89">
        <v>43825.125</v>
      </c>
      <c r="C1973" s="90" t="s">
        <v>1876</v>
      </c>
      <c r="D1973" s="34"/>
      <c r="E1973" s="37">
        <v>4500000</v>
      </c>
      <c r="F1973" s="37"/>
      <c r="G1973" s="37">
        <f t="shared" si="363"/>
        <v>4500000</v>
      </c>
      <c r="H1973" s="64"/>
      <c r="I1973" s="64">
        <v>81858.42</v>
      </c>
      <c r="J1973" s="64">
        <v>38514.42</v>
      </c>
      <c r="K1973" s="18">
        <f t="shared" si="364"/>
        <v>4379627.16</v>
      </c>
      <c r="L1973" s="19">
        <f t="shared" si="365"/>
        <v>1650598</v>
      </c>
      <c r="M1973" s="20"/>
      <c r="N1973" s="20"/>
      <c r="O1973" s="81"/>
      <c r="P1973" s="85"/>
      <c r="Q1973" s="85"/>
      <c r="R1973" s="14"/>
      <c r="S1973" s="14"/>
    </row>
    <row r="1974" spans="2:19" ht="12.75" hidden="1" customHeight="1" x14ac:dyDescent="0.25">
      <c r="B1974" s="89"/>
      <c r="C1974" s="90" t="s">
        <v>654</v>
      </c>
      <c r="D1974" s="34"/>
      <c r="E1974" s="37">
        <v>1650598</v>
      </c>
      <c r="F1974" s="37"/>
      <c r="G1974" s="37"/>
      <c r="H1974" s="64"/>
      <c r="I1974" s="64"/>
      <c r="J1974" s="64"/>
      <c r="K1974" s="18"/>
      <c r="L1974" s="19">
        <f>+L1973-E1974</f>
        <v>0</v>
      </c>
      <c r="M1974" s="20"/>
      <c r="N1974" s="20"/>
      <c r="O1974" s="81"/>
      <c r="P1974" s="85"/>
      <c r="Q1974" s="85"/>
      <c r="R1974" s="14"/>
      <c r="S1974" s="14"/>
    </row>
    <row r="1975" spans="2:19" ht="15" hidden="1" x14ac:dyDescent="0.25">
      <c r="B1975" s="9" t="s">
        <v>1877</v>
      </c>
      <c r="C1975" s="10"/>
      <c r="D1975" s="11">
        <v>39200000</v>
      </c>
      <c r="E1975" s="11">
        <f>+D1975</f>
        <v>39200000</v>
      </c>
      <c r="F1975" s="11"/>
      <c r="G1975" s="11"/>
      <c r="H1975" s="11"/>
      <c r="I1975" s="11"/>
      <c r="J1975" s="11"/>
      <c r="K1975" s="11"/>
      <c r="L1975" s="11">
        <f>+D1975</f>
        <v>39200000</v>
      </c>
      <c r="M1975" s="12"/>
      <c r="N1975" s="12"/>
      <c r="P1975" s="55"/>
      <c r="Q1975" s="55"/>
      <c r="R1975" s="14"/>
      <c r="S1975" s="14"/>
    </row>
    <row r="1976" spans="2:19" ht="12.75" hidden="1" customHeight="1" x14ac:dyDescent="0.25">
      <c r="B1976" s="16">
        <v>43662.083333333336</v>
      </c>
      <c r="C1976" s="50" t="s">
        <v>1878</v>
      </c>
      <c r="D1976" s="34"/>
      <c r="E1976" s="37">
        <v>2773333.33</v>
      </c>
      <c r="F1976" s="37"/>
      <c r="G1976" s="37">
        <f t="shared" ref="G1976:G1985" si="366">+E1976</f>
        <v>2773333.33</v>
      </c>
      <c r="H1976" s="64"/>
      <c r="I1976" s="64"/>
      <c r="J1976" s="64">
        <v>23736.29</v>
      </c>
      <c r="K1976" s="18">
        <f t="shared" ref="K1976:K1985" si="367">+G1976-H1976-I1976-J1976</f>
        <v>2749597.04</v>
      </c>
      <c r="L1976" s="19">
        <f t="shared" ref="L1976:L1985" si="368">+L1975-G1976</f>
        <v>36426666.670000002</v>
      </c>
      <c r="M1976" s="20"/>
      <c r="N1976" s="20"/>
      <c r="O1976" s="81">
        <f>+L1986-'[1]ANEXO 7 - PPTO VIG 2019'!T44</f>
        <v>0</v>
      </c>
      <c r="P1976" s="55"/>
      <c r="Q1976" s="55"/>
      <c r="R1976" s="14"/>
      <c r="S1976" s="14"/>
    </row>
    <row r="1977" spans="2:19" ht="12.75" hidden="1" customHeight="1" x14ac:dyDescent="0.25">
      <c r="B1977" s="16">
        <v>43689.083333333336</v>
      </c>
      <c r="C1977" s="50" t="s">
        <v>1879</v>
      </c>
      <c r="D1977" s="34"/>
      <c r="E1977" s="37">
        <v>4160000</v>
      </c>
      <c r="F1977" s="37"/>
      <c r="G1977" s="37">
        <f t="shared" si="366"/>
        <v>4160000</v>
      </c>
      <c r="H1977" s="64"/>
      <c r="I1977" s="64"/>
      <c r="J1977" s="64">
        <v>35604.44</v>
      </c>
      <c r="K1977" s="18">
        <f t="shared" si="367"/>
        <v>4124395.56</v>
      </c>
      <c r="L1977" s="19">
        <f t="shared" si="368"/>
        <v>32266666.670000002</v>
      </c>
      <c r="M1977" s="20"/>
      <c r="N1977" s="20"/>
      <c r="O1977" s="81"/>
      <c r="P1977" s="85"/>
      <c r="Q1977" s="85"/>
      <c r="R1977" s="14"/>
      <c r="S1977" s="14"/>
    </row>
    <row r="1978" spans="2:19" ht="12.75" hidden="1" customHeight="1" x14ac:dyDescent="0.25">
      <c r="B1978" s="16">
        <v>43689.083333333336</v>
      </c>
      <c r="C1978" s="50" t="s">
        <v>1880</v>
      </c>
      <c r="D1978" s="34"/>
      <c r="E1978" s="37">
        <v>1203315</v>
      </c>
      <c r="F1978" s="37"/>
      <c r="G1978" s="37">
        <f t="shared" si="366"/>
        <v>1203315</v>
      </c>
      <c r="H1978" s="64"/>
      <c r="I1978" s="64">
        <v>28486.46</v>
      </c>
      <c r="J1978" s="64">
        <v>4813.24</v>
      </c>
      <c r="K1978" s="18">
        <f t="shared" si="367"/>
        <v>1170015.3</v>
      </c>
      <c r="L1978" s="19">
        <f t="shared" si="368"/>
        <v>31063351.670000002</v>
      </c>
      <c r="M1978" s="20"/>
      <c r="N1978" s="20"/>
      <c r="O1978" s="81"/>
      <c r="P1978" s="85"/>
      <c r="Q1978" s="85"/>
      <c r="R1978" s="14"/>
      <c r="S1978" s="14"/>
    </row>
    <row r="1979" spans="2:19" ht="12.75" hidden="1" customHeight="1" x14ac:dyDescent="0.25">
      <c r="B1979" s="16">
        <v>43710.083333333336</v>
      </c>
      <c r="C1979" s="50" t="s">
        <v>1881</v>
      </c>
      <c r="D1979" s="34"/>
      <c r="E1979" s="37">
        <v>4160000</v>
      </c>
      <c r="F1979" s="37"/>
      <c r="G1979" s="37">
        <f t="shared" si="366"/>
        <v>4160000</v>
      </c>
      <c r="H1979" s="64"/>
      <c r="I1979" s="64"/>
      <c r="J1979" s="64">
        <v>35604.44</v>
      </c>
      <c r="K1979" s="18">
        <f t="shared" si="367"/>
        <v>4124395.56</v>
      </c>
      <c r="L1979" s="19">
        <f t="shared" si="368"/>
        <v>26903351.670000002</v>
      </c>
      <c r="M1979" s="20"/>
      <c r="N1979" s="20"/>
      <c r="O1979" s="81"/>
      <c r="P1979" s="85"/>
      <c r="Q1979" s="85"/>
      <c r="R1979" s="14"/>
      <c r="S1979" s="14"/>
    </row>
    <row r="1980" spans="2:19" ht="12.75" hidden="1" customHeight="1" x14ac:dyDescent="0.25">
      <c r="B1980" s="89">
        <v>43748.083333333336</v>
      </c>
      <c r="C1980" s="90" t="s">
        <v>1882</v>
      </c>
      <c r="D1980" s="34"/>
      <c r="E1980" s="37">
        <v>4160000</v>
      </c>
      <c r="F1980" s="37"/>
      <c r="G1980" s="37">
        <f t="shared" si="366"/>
        <v>4160000</v>
      </c>
      <c r="H1980" s="64"/>
      <c r="I1980" s="64"/>
      <c r="J1980" s="64">
        <v>35604.44</v>
      </c>
      <c r="K1980" s="18">
        <f t="shared" si="367"/>
        <v>4124395.56</v>
      </c>
      <c r="L1980" s="19">
        <f t="shared" si="368"/>
        <v>22743351.670000002</v>
      </c>
      <c r="M1980" s="20"/>
      <c r="N1980" s="20"/>
      <c r="O1980" s="81"/>
      <c r="P1980" s="85"/>
      <c r="Q1980" s="85"/>
      <c r="R1980" s="14"/>
      <c r="S1980" s="14"/>
    </row>
    <row r="1981" spans="2:19" ht="12.75" hidden="1" customHeight="1" x14ac:dyDescent="0.25">
      <c r="B1981" s="89">
        <v>43749.083333333336</v>
      </c>
      <c r="C1981" s="90" t="s">
        <v>1883</v>
      </c>
      <c r="D1981" s="34"/>
      <c r="E1981" s="37">
        <v>1188765</v>
      </c>
      <c r="F1981" s="37"/>
      <c r="G1981" s="37">
        <f t="shared" si="366"/>
        <v>1188765</v>
      </c>
      <c r="H1981" s="64"/>
      <c r="I1981" s="64">
        <v>28486.46</v>
      </c>
      <c r="J1981" s="64">
        <v>4813.24</v>
      </c>
      <c r="K1981" s="18">
        <f t="shared" si="367"/>
        <v>1155465.3</v>
      </c>
      <c r="L1981" s="19">
        <f t="shared" si="368"/>
        <v>21554586.670000002</v>
      </c>
      <c r="M1981" s="20"/>
      <c r="N1981" s="20"/>
      <c r="O1981" s="81"/>
      <c r="P1981" s="85"/>
      <c r="Q1981" s="85"/>
      <c r="R1981" s="14"/>
      <c r="S1981" s="14"/>
    </row>
    <row r="1982" spans="2:19" ht="12.75" hidden="1" customHeight="1" x14ac:dyDescent="0.25">
      <c r="B1982" s="89">
        <v>43782.125</v>
      </c>
      <c r="C1982" s="90" t="s">
        <v>1884</v>
      </c>
      <c r="D1982" s="34"/>
      <c r="E1982" s="37">
        <v>4160000</v>
      </c>
      <c r="F1982" s="37"/>
      <c r="G1982" s="37">
        <f t="shared" si="366"/>
        <v>4160000</v>
      </c>
      <c r="H1982" s="64"/>
      <c r="I1982" s="64"/>
      <c r="J1982" s="64">
        <v>35604.44</v>
      </c>
      <c r="K1982" s="18">
        <f t="shared" si="367"/>
        <v>4124395.56</v>
      </c>
      <c r="L1982" s="19">
        <f t="shared" si="368"/>
        <v>17394586.670000002</v>
      </c>
      <c r="M1982" s="20"/>
      <c r="N1982" s="20"/>
      <c r="O1982" s="81"/>
      <c r="P1982" s="85"/>
      <c r="Q1982" s="85"/>
      <c r="R1982" s="14"/>
      <c r="S1982" s="14"/>
    </row>
    <row r="1983" spans="2:19" ht="12.75" hidden="1" customHeight="1" x14ac:dyDescent="0.25">
      <c r="B1983" s="89">
        <v>43782.125</v>
      </c>
      <c r="C1983" s="90" t="s">
        <v>1885</v>
      </c>
      <c r="D1983" s="34"/>
      <c r="E1983" s="37">
        <v>1055485</v>
      </c>
      <c r="F1983" s="37"/>
      <c r="G1983" s="37">
        <f t="shared" si="366"/>
        <v>1055485</v>
      </c>
      <c r="H1983" s="64"/>
      <c r="I1983" s="64">
        <v>0</v>
      </c>
      <c r="J1983" s="64">
        <v>4813.24</v>
      </c>
      <c r="K1983" s="18">
        <f t="shared" si="367"/>
        <v>1050671.76</v>
      </c>
      <c r="L1983" s="19">
        <f t="shared" si="368"/>
        <v>16339101.670000002</v>
      </c>
      <c r="M1983" s="20"/>
      <c r="N1983" s="20"/>
      <c r="O1983" s="81"/>
      <c r="P1983" s="85"/>
      <c r="Q1983" s="85"/>
      <c r="R1983" s="14"/>
      <c r="S1983" s="14"/>
    </row>
    <row r="1984" spans="2:19" ht="12.75" hidden="1" customHeight="1" x14ac:dyDescent="0.25">
      <c r="B1984" s="89">
        <v>43811.125</v>
      </c>
      <c r="C1984" s="90" t="s">
        <v>1886</v>
      </c>
      <c r="D1984" s="34"/>
      <c r="E1984" s="37">
        <v>4160000</v>
      </c>
      <c r="F1984" s="37"/>
      <c r="G1984" s="37">
        <f t="shared" si="366"/>
        <v>4160000</v>
      </c>
      <c r="H1984" s="64"/>
      <c r="I1984" s="64">
        <v>0</v>
      </c>
      <c r="J1984" s="64">
        <v>35604.44</v>
      </c>
      <c r="K1984" s="18">
        <f t="shared" si="367"/>
        <v>4124395.56</v>
      </c>
      <c r="L1984" s="19">
        <f t="shared" si="368"/>
        <v>12179101.670000002</v>
      </c>
      <c r="M1984" s="20"/>
      <c r="N1984" s="20"/>
      <c r="O1984" s="81"/>
      <c r="P1984" s="85"/>
      <c r="Q1984" s="85"/>
      <c r="R1984" s="14"/>
      <c r="S1984" s="14"/>
    </row>
    <row r="1985" spans="2:19" ht="12.75" hidden="1" customHeight="1" x14ac:dyDescent="0.25">
      <c r="B1985" s="89">
        <v>43825.125</v>
      </c>
      <c r="C1985" s="90" t="s">
        <v>1887</v>
      </c>
      <c r="D1985" s="34"/>
      <c r="E1985" s="37">
        <v>4160000</v>
      </c>
      <c r="F1985" s="37"/>
      <c r="G1985" s="37">
        <f t="shared" si="366"/>
        <v>4160000</v>
      </c>
      <c r="H1985" s="64"/>
      <c r="I1985" s="64">
        <v>0</v>
      </c>
      <c r="J1985" s="64">
        <v>35604.44</v>
      </c>
      <c r="K1985" s="18">
        <f t="shared" si="367"/>
        <v>4124395.56</v>
      </c>
      <c r="L1985" s="19">
        <f t="shared" si="368"/>
        <v>8019101.6700000018</v>
      </c>
      <c r="M1985" s="20"/>
      <c r="N1985" s="20"/>
      <c r="O1985" s="81"/>
      <c r="P1985" s="85"/>
      <c r="Q1985" s="85"/>
      <c r="R1985" s="14"/>
      <c r="S1985" s="14"/>
    </row>
    <row r="1986" spans="2:19" ht="12.75" hidden="1" customHeight="1" x14ac:dyDescent="0.25">
      <c r="B1986" s="89"/>
      <c r="C1986" s="90" t="s">
        <v>654</v>
      </c>
      <c r="D1986" s="34"/>
      <c r="E1986" s="37">
        <v>8019101.6700000018</v>
      </c>
      <c r="F1986" s="37"/>
      <c r="G1986" s="37"/>
      <c r="H1986" s="64"/>
      <c r="I1986" s="64"/>
      <c r="J1986" s="64"/>
      <c r="K1986" s="18"/>
      <c r="L1986" s="19">
        <f>+L1985-E1986</f>
        <v>0</v>
      </c>
      <c r="M1986" s="20"/>
      <c r="N1986" s="20"/>
      <c r="O1986" s="81"/>
      <c r="P1986" s="85"/>
      <c r="Q1986" s="85"/>
      <c r="R1986" s="14"/>
      <c r="S1986" s="14"/>
    </row>
    <row r="1987" spans="2:19" ht="15" hidden="1" x14ac:dyDescent="0.25">
      <c r="B1987" s="9" t="s">
        <v>1888</v>
      </c>
      <c r="C1987" s="10"/>
      <c r="D1987" s="11">
        <v>1800000000</v>
      </c>
      <c r="E1987" s="11">
        <f>+D1987</f>
        <v>1800000000</v>
      </c>
      <c r="F1987" s="11"/>
      <c r="G1987" s="11"/>
      <c r="H1987" s="11"/>
      <c r="I1987" s="11"/>
      <c r="J1987" s="11"/>
      <c r="K1987" s="11"/>
      <c r="L1987" s="11">
        <f>+D1987</f>
        <v>1800000000</v>
      </c>
      <c r="M1987" s="12"/>
      <c r="N1987" s="12"/>
      <c r="P1987" s="55"/>
      <c r="Q1987" s="55"/>
      <c r="R1987" s="14"/>
      <c r="S1987" s="14"/>
    </row>
    <row r="1988" spans="2:19" ht="12.75" hidden="1" customHeight="1" x14ac:dyDescent="0.25">
      <c r="B1988" s="16">
        <v>43672.083333333336</v>
      </c>
      <c r="C1988" s="50" t="s">
        <v>1889</v>
      </c>
      <c r="D1988" s="34"/>
      <c r="E1988" s="37">
        <v>360000000</v>
      </c>
      <c r="F1988" s="37"/>
      <c r="G1988" s="37">
        <f>+E1988</f>
        <v>360000000</v>
      </c>
      <c r="H1988" s="64"/>
      <c r="I1988" s="64"/>
      <c r="J1988" s="64"/>
      <c r="K1988" s="18">
        <f>+G1988-H1988-I1988-J1988</f>
        <v>360000000</v>
      </c>
      <c r="L1988" s="19">
        <f>+L1987-G1988</f>
        <v>1440000000</v>
      </c>
      <c r="M1988" s="20"/>
      <c r="N1988" s="20"/>
      <c r="O1988" s="81">
        <f>+L1991-'[1]ANEXO 7 - PPTO VIG 2019'!T17</f>
        <v>0</v>
      </c>
      <c r="P1988" s="55"/>
      <c r="Q1988" s="55"/>
      <c r="R1988" s="14"/>
      <c r="S1988" s="14"/>
    </row>
    <row r="1989" spans="2:19" ht="12.75" hidden="1" customHeight="1" x14ac:dyDescent="0.25">
      <c r="B1989" s="16">
        <v>43769</v>
      </c>
      <c r="C1989" s="90" t="s">
        <v>1890</v>
      </c>
      <c r="D1989" s="34"/>
      <c r="E1989" s="37">
        <v>450000000</v>
      </c>
      <c r="F1989" s="37"/>
      <c r="G1989" s="37">
        <f>+E1989</f>
        <v>450000000</v>
      </c>
      <c r="H1989" s="64"/>
      <c r="I1989" s="64"/>
      <c r="J1989" s="64"/>
      <c r="K1989" s="18">
        <f>+G1989-H1989-I1989-J1989</f>
        <v>450000000</v>
      </c>
      <c r="L1989" s="19">
        <f>+L1988-G1989</f>
        <v>990000000</v>
      </c>
      <c r="M1989" s="20"/>
      <c r="N1989" s="20"/>
      <c r="O1989" s="81"/>
      <c r="P1989" s="55"/>
      <c r="Q1989" s="55"/>
      <c r="R1989" s="14"/>
      <c r="S1989" s="14"/>
    </row>
    <row r="1990" spans="2:19" ht="12.75" hidden="1" customHeight="1" x14ac:dyDescent="0.25">
      <c r="B1990" s="16">
        <v>43833.125</v>
      </c>
      <c r="C1990" s="50" t="s">
        <v>1891</v>
      </c>
      <c r="D1990" s="34"/>
      <c r="E1990" s="37">
        <v>450000000</v>
      </c>
      <c r="F1990" s="37"/>
      <c r="G1990" s="37">
        <f>+E1990</f>
        <v>450000000</v>
      </c>
      <c r="H1990" s="64"/>
      <c r="I1990" s="64"/>
      <c r="J1990" s="64"/>
      <c r="K1990" s="18">
        <f>+G1990-H1990-I1990-J1990</f>
        <v>450000000</v>
      </c>
      <c r="L1990" s="19">
        <f>+L1989-G1990</f>
        <v>540000000</v>
      </c>
      <c r="M1990" s="20"/>
      <c r="N1990" s="20"/>
      <c r="O1990" s="81"/>
      <c r="P1990" s="55"/>
      <c r="Q1990" s="55"/>
      <c r="R1990" s="14"/>
      <c r="S1990" s="14"/>
    </row>
    <row r="1991" spans="2:19" ht="12.75" hidden="1" customHeight="1" x14ac:dyDescent="0.25">
      <c r="B1991" s="16">
        <v>43847.125</v>
      </c>
      <c r="C1991" s="90" t="s">
        <v>1892</v>
      </c>
      <c r="D1991" s="34"/>
      <c r="E1991" s="37">
        <v>540000000</v>
      </c>
      <c r="F1991" s="37"/>
      <c r="G1991" s="37">
        <f>+E1991</f>
        <v>540000000</v>
      </c>
      <c r="H1991" s="64"/>
      <c r="I1991" s="64"/>
      <c r="J1991" s="64"/>
      <c r="K1991" s="18">
        <f>+G1991-H1991-I1991-J1991</f>
        <v>540000000</v>
      </c>
      <c r="L1991" s="19">
        <f>+L1990-G1991</f>
        <v>0</v>
      </c>
      <c r="M1991" s="20"/>
      <c r="N1991" s="20"/>
      <c r="O1991" s="81"/>
      <c r="P1991" s="55"/>
      <c r="Q1991" s="55"/>
      <c r="R1991" s="14"/>
      <c r="S1991" s="14"/>
    </row>
    <row r="1992" spans="2:19" ht="15" hidden="1" x14ac:dyDescent="0.25">
      <c r="B1992" s="9" t="s">
        <v>1893</v>
      </c>
      <c r="C1992" s="10"/>
      <c r="D1992" s="11">
        <v>46200000</v>
      </c>
      <c r="E1992" s="11">
        <f>+D1992</f>
        <v>46200000</v>
      </c>
      <c r="F1992" s="11"/>
      <c r="G1992" s="11"/>
      <c r="H1992" s="11"/>
      <c r="I1992" s="11"/>
      <c r="J1992" s="11"/>
      <c r="K1992" s="11"/>
      <c r="L1992" s="11">
        <f>+D1992</f>
        <v>46200000</v>
      </c>
      <c r="M1992" s="12"/>
      <c r="N1992" s="12"/>
      <c r="P1992" s="55"/>
      <c r="Q1992" s="55"/>
      <c r="R1992" s="14"/>
      <c r="S1992" s="14"/>
    </row>
    <row r="1993" spans="2:19" ht="12.75" hidden="1" customHeight="1" x14ac:dyDescent="0.25">
      <c r="B1993" s="16">
        <v>43668.083333333336</v>
      </c>
      <c r="C1993" s="50" t="s">
        <v>1894</v>
      </c>
      <c r="D1993" s="34"/>
      <c r="E1993" s="37">
        <v>1000000</v>
      </c>
      <c r="F1993" s="37"/>
      <c r="G1993" s="37">
        <f t="shared" ref="G1993:G1999" si="369">+E1993</f>
        <v>1000000</v>
      </c>
      <c r="H1993" s="64"/>
      <c r="I1993" s="64"/>
      <c r="J1993" s="64">
        <v>8558.76</v>
      </c>
      <c r="K1993" s="18">
        <f t="shared" ref="K1993:K1999" si="370">+G1993-H1993-I1993-J1993</f>
        <v>991441.24</v>
      </c>
      <c r="L1993" s="19">
        <f t="shared" ref="L1993:L1999" si="371">+L1992-G1993</f>
        <v>45200000</v>
      </c>
      <c r="M1993" s="20"/>
      <c r="N1993" s="20"/>
      <c r="O1993" s="81">
        <f>+L2000-'[1]ANEXO 7 - PPTO VIG 2019'!T46</f>
        <v>0</v>
      </c>
      <c r="P1993" s="55"/>
      <c r="Q1993" s="55"/>
      <c r="R1993" s="14"/>
      <c r="S1993" s="14"/>
    </row>
    <row r="1994" spans="2:19" ht="12.75" hidden="1" customHeight="1" x14ac:dyDescent="0.25">
      <c r="B1994" s="16">
        <v>43699.083333333336</v>
      </c>
      <c r="C1994" s="50" t="s">
        <v>1895</v>
      </c>
      <c r="D1994" s="34"/>
      <c r="E1994" s="37">
        <v>6000000</v>
      </c>
      <c r="F1994" s="37"/>
      <c r="G1994" s="37">
        <f t="shared" si="369"/>
        <v>6000000</v>
      </c>
      <c r="H1994" s="64"/>
      <c r="I1994" s="64">
        <v>189251.38</v>
      </c>
      <c r="J1994" s="64">
        <v>51352.56</v>
      </c>
      <c r="K1994" s="18">
        <f t="shared" si="370"/>
        <v>5759396.0600000005</v>
      </c>
      <c r="L1994" s="19">
        <f t="shared" si="371"/>
        <v>39200000</v>
      </c>
      <c r="M1994" s="20"/>
      <c r="N1994" s="20"/>
      <c r="O1994" s="81"/>
      <c r="P1994" s="85"/>
      <c r="Q1994" s="85"/>
      <c r="R1994" s="14"/>
      <c r="S1994" s="14"/>
    </row>
    <row r="1995" spans="2:19" ht="12.75" hidden="1" customHeight="1" x14ac:dyDescent="0.25">
      <c r="B1995" s="16">
        <v>43707.083333333336</v>
      </c>
      <c r="C1995" s="50" t="s">
        <v>1896</v>
      </c>
      <c r="D1995" s="34"/>
      <c r="E1995" s="37">
        <v>6000000</v>
      </c>
      <c r="F1995" s="37"/>
      <c r="G1995" s="37">
        <f t="shared" si="369"/>
        <v>6000000</v>
      </c>
      <c r="H1995" s="64"/>
      <c r="I1995" s="64">
        <v>189251.38</v>
      </c>
      <c r="J1995" s="64">
        <v>51352.56</v>
      </c>
      <c r="K1995" s="18">
        <f t="shared" si="370"/>
        <v>5759396.0600000005</v>
      </c>
      <c r="L1995" s="19">
        <f t="shared" si="371"/>
        <v>33200000</v>
      </c>
      <c r="M1995" s="20"/>
      <c r="N1995" s="20"/>
      <c r="O1995" s="81"/>
      <c r="P1995" s="85"/>
      <c r="Q1995" s="85"/>
      <c r="R1995" s="14"/>
      <c r="S1995" s="14"/>
    </row>
    <row r="1996" spans="2:19" ht="12.75" hidden="1" customHeight="1" x14ac:dyDescent="0.25">
      <c r="B1996" s="16">
        <v>43754.083333333336</v>
      </c>
      <c r="C1996" s="50" t="s">
        <v>1897</v>
      </c>
      <c r="D1996" s="34"/>
      <c r="E1996" s="37">
        <v>6000000</v>
      </c>
      <c r="F1996" s="37"/>
      <c r="G1996" s="37">
        <f t="shared" si="369"/>
        <v>6000000</v>
      </c>
      <c r="H1996" s="64"/>
      <c r="I1996" s="64">
        <v>189251.38</v>
      </c>
      <c r="J1996" s="64">
        <v>51352.56</v>
      </c>
      <c r="K1996" s="18">
        <f t="shared" si="370"/>
        <v>5759396.0600000005</v>
      </c>
      <c r="L1996" s="19">
        <f t="shared" si="371"/>
        <v>27200000</v>
      </c>
      <c r="M1996" s="20"/>
      <c r="N1996" s="20"/>
      <c r="O1996" s="81"/>
      <c r="P1996" s="85"/>
      <c r="Q1996" s="85"/>
      <c r="R1996" s="14"/>
      <c r="S1996" s="14"/>
    </row>
    <row r="1997" spans="2:19" ht="12.75" hidden="1" customHeight="1" x14ac:dyDescent="0.25">
      <c r="B1997" s="16">
        <v>43782.125</v>
      </c>
      <c r="C1997" s="50" t="s">
        <v>1898</v>
      </c>
      <c r="D1997" s="34"/>
      <c r="E1997" s="37">
        <v>6000000</v>
      </c>
      <c r="F1997" s="37"/>
      <c r="G1997" s="37">
        <f t="shared" si="369"/>
        <v>6000000</v>
      </c>
      <c r="H1997" s="64"/>
      <c r="I1997" s="64">
        <v>189251.38</v>
      </c>
      <c r="J1997" s="64">
        <v>51352.56</v>
      </c>
      <c r="K1997" s="18">
        <f t="shared" si="370"/>
        <v>5759396.0600000005</v>
      </c>
      <c r="L1997" s="19">
        <f t="shared" si="371"/>
        <v>21200000</v>
      </c>
      <c r="M1997" s="20"/>
      <c r="N1997" s="20"/>
      <c r="O1997" s="81"/>
      <c r="P1997" s="85"/>
      <c r="Q1997" s="85"/>
      <c r="R1997" s="14"/>
      <c r="S1997" s="14"/>
    </row>
    <row r="1998" spans="2:19" ht="12.75" hidden="1" customHeight="1" x14ac:dyDescent="0.25">
      <c r="B1998" s="16">
        <v>43822.125</v>
      </c>
      <c r="C1998" s="50" t="s">
        <v>1899</v>
      </c>
      <c r="D1998" s="34"/>
      <c r="E1998" s="37">
        <v>6000000</v>
      </c>
      <c r="F1998" s="37"/>
      <c r="G1998" s="37">
        <f t="shared" si="369"/>
        <v>6000000</v>
      </c>
      <c r="H1998" s="64"/>
      <c r="I1998" s="64">
        <v>189251.38</v>
      </c>
      <c r="J1998" s="64">
        <v>51352.56</v>
      </c>
      <c r="K1998" s="18">
        <f t="shared" si="370"/>
        <v>5759396.0600000005</v>
      </c>
      <c r="L1998" s="19">
        <f t="shared" si="371"/>
        <v>15200000</v>
      </c>
      <c r="M1998" s="20"/>
      <c r="N1998" s="20"/>
      <c r="O1998" s="81"/>
      <c r="P1998" s="85"/>
      <c r="Q1998" s="85"/>
      <c r="R1998" s="14"/>
      <c r="S1998" s="14"/>
    </row>
    <row r="1999" spans="2:19" ht="12.75" hidden="1" customHeight="1" x14ac:dyDescent="0.25">
      <c r="B1999" s="16">
        <v>43823.125</v>
      </c>
      <c r="C1999" s="50" t="s">
        <v>1900</v>
      </c>
      <c r="D1999" s="34"/>
      <c r="E1999" s="37">
        <v>6000000</v>
      </c>
      <c r="F1999" s="37"/>
      <c r="G1999" s="37">
        <f t="shared" si="369"/>
        <v>6000000</v>
      </c>
      <c r="H1999" s="64"/>
      <c r="I1999" s="64">
        <v>189251.38</v>
      </c>
      <c r="J1999" s="64">
        <v>51352.56</v>
      </c>
      <c r="K1999" s="18">
        <f t="shared" si="370"/>
        <v>5759396.0600000005</v>
      </c>
      <c r="L1999" s="19">
        <f t="shared" si="371"/>
        <v>9200000</v>
      </c>
      <c r="M1999" s="20"/>
      <c r="N1999" s="20"/>
      <c r="O1999" s="81"/>
      <c r="P1999" s="85"/>
      <c r="Q1999" s="85"/>
      <c r="R1999" s="14"/>
      <c r="S1999" s="14"/>
    </row>
    <row r="2000" spans="2:19" ht="12.75" hidden="1" customHeight="1" x14ac:dyDescent="0.25">
      <c r="B2000" s="16"/>
      <c r="C2000" s="50" t="s">
        <v>654</v>
      </c>
      <c r="D2000" s="34"/>
      <c r="E2000" s="37">
        <v>9200000</v>
      </c>
      <c r="F2000" s="37"/>
      <c r="G2000" s="37"/>
      <c r="H2000" s="64"/>
      <c r="I2000" s="64"/>
      <c r="J2000" s="64"/>
      <c r="K2000" s="18"/>
      <c r="L2000" s="19">
        <f>+L1999-E2000</f>
        <v>0</v>
      </c>
      <c r="M2000" s="20"/>
      <c r="N2000" s="20"/>
      <c r="O2000" s="81"/>
      <c r="P2000" s="85"/>
      <c r="Q2000" s="85"/>
      <c r="R2000" s="14"/>
      <c r="S2000" s="14"/>
    </row>
    <row r="2001" spans="2:19" ht="15" hidden="1" x14ac:dyDescent="0.25">
      <c r="B2001" s="9" t="s">
        <v>1901</v>
      </c>
      <c r="C2001" s="10"/>
      <c r="D2001" s="11">
        <v>55000000</v>
      </c>
      <c r="E2001" s="11">
        <f>+D2001</f>
        <v>55000000</v>
      </c>
      <c r="F2001" s="11"/>
      <c r="G2001" s="11"/>
      <c r="H2001" s="11"/>
      <c r="I2001" s="11"/>
      <c r="J2001" s="11"/>
      <c r="K2001" s="11"/>
      <c r="L2001" s="11">
        <f>+D2001</f>
        <v>55000000</v>
      </c>
      <c r="M2001" s="12"/>
      <c r="N2001" s="12"/>
      <c r="P2001" s="55"/>
      <c r="Q2001" s="55"/>
      <c r="R2001" s="14"/>
      <c r="S2001" s="14"/>
    </row>
    <row r="2002" spans="2:19" ht="12.75" hidden="1" customHeight="1" x14ac:dyDescent="0.25">
      <c r="B2002" s="16">
        <v>43697.083333333336</v>
      </c>
      <c r="C2002" s="50" t="s">
        <v>1902</v>
      </c>
      <c r="D2002" s="34"/>
      <c r="E2002" s="37">
        <v>4333333</v>
      </c>
      <c r="F2002" s="37"/>
      <c r="G2002" s="37">
        <f t="shared" ref="G2002:G2007" si="372">+E2002</f>
        <v>4333333</v>
      </c>
      <c r="H2002" s="64"/>
      <c r="I2002" s="64"/>
      <c r="J2002" s="64">
        <v>37087.96</v>
      </c>
      <c r="K2002" s="18">
        <f t="shared" ref="K2002:K2007" si="373">+G2002-H2002-I2002-J2002</f>
        <v>4296245.04</v>
      </c>
      <c r="L2002" s="19">
        <f t="shared" ref="L2002:L2007" si="374">+L2001-G2002</f>
        <v>50666667</v>
      </c>
      <c r="M2002" s="20"/>
      <c r="N2002" s="20"/>
      <c r="O2002" s="81">
        <f>+L2008-'[1]ANEXO 7 - PPTO VIG 2019'!T94</f>
        <v>0</v>
      </c>
      <c r="P2002" s="85"/>
      <c r="Q2002" s="85"/>
      <c r="R2002" s="14"/>
      <c r="S2002" s="14"/>
    </row>
    <row r="2003" spans="2:19" ht="12.75" hidden="1" customHeight="1" x14ac:dyDescent="0.25">
      <c r="B2003" s="16">
        <v>43706.083333333336</v>
      </c>
      <c r="C2003" s="50" t="s">
        <v>1903</v>
      </c>
      <c r="D2003" s="34"/>
      <c r="E2003" s="37">
        <v>10000000</v>
      </c>
      <c r="F2003" s="37"/>
      <c r="G2003" s="37">
        <f t="shared" si="372"/>
        <v>10000000</v>
      </c>
      <c r="H2003" s="64"/>
      <c r="I2003" s="64">
        <v>623419</v>
      </c>
      <c r="J2003" s="64">
        <v>85587.6</v>
      </c>
      <c r="K2003" s="18">
        <f t="shared" si="373"/>
        <v>9290993.4000000004</v>
      </c>
      <c r="L2003" s="19">
        <f t="shared" si="374"/>
        <v>40666667</v>
      </c>
      <c r="M2003" s="20"/>
      <c r="N2003" s="20"/>
      <c r="O2003" s="81"/>
      <c r="P2003" s="85"/>
      <c r="Q2003" s="85"/>
      <c r="R2003" s="14"/>
      <c r="S2003" s="14"/>
    </row>
    <row r="2004" spans="2:19" ht="12.75" hidden="1" customHeight="1" x14ac:dyDescent="0.25">
      <c r="B2004" s="16">
        <v>43754.083333333336</v>
      </c>
      <c r="C2004" s="50" t="s">
        <v>1904</v>
      </c>
      <c r="D2004" s="34"/>
      <c r="E2004" s="37">
        <v>10000000</v>
      </c>
      <c r="F2004" s="37"/>
      <c r="G2004" s="37">
        <f t="shared" si="372"/>
        <v>10000000</v>
      </c>
      <c r="H2004" s="64"/>
      <c r="I2004" s="64">
        <v>623419</v>
      </c>
      <c r="J2004" s="64">
        <v>85587.6</v>
      </c>
      <c r="K2004" s="18">
        <f t="shared" si="373"/>
        <v>9290993.4000000004</v>
      </c>
      <c r="L2004" s="19">
        <f t="shared" si="374"/>
        <v>30666667</v>
      </c>
      <c r="M2004" s="20"/>
      <c r="N2004" s="20"/>
      <c r="O2004" s="81"/>
      <c r="P2004" s="85"/>
      <c r="Q2004" s="85"/>
      <c r="R2004" s="14"/>
      <c r="S2004" s="14"/>
    </row>
    <row r="2005" spans="2:19" ht="12.75" hidden="1" customHeight="1" x14ac:dyDescent="0.25">
      <c r="B2005" s="16">
        <v>43770.083333333336</v>
      </c>
      <c r="C2005" s="50" t="s">
        <v>1905</v>
      </c>
      <c r="D2005" s="34"/>
      <c r="E2005" s="37">
        <v>10000000</v>
      </c>
      <c r="F2005" s="37"/>
      <c r="G2005" s="37">
        <f t="shared" si="372"/>
        <v>10000000</v>
      </c>
      <c r="H2005" s="64"/>
      <c r="I2005" s="64">
        <v>623419</v>
      </c>
      <c r="J2005" s="64">
        <v>85587.6</v>
      </c>
      <c r="K2005" s="18">
        <f t="shared" si="373"/>
        <v>9290993.4000000004</v>
      </c>
      <c r="L2005" s="19">
        <f t="shared" si="374"/>
        <v>20666667</v>
      </c>
      <c r="M2005" s="20"/>
      <c r="N2005" s="20"/>
      <c r="O2005" s="81"/>
      <c r="P2005" s="85"/>
      <c r="Q2005" s="85"/>
      <c r="R2005" s="14"/>
      <c r="S2005" s="14"/>
    </row>
    <row r="2006" spans="2:19" ht="12.75" hidden="1" customHeight="1" x14ac:dyDescent="0.25">
      <c r="B2006" s="16">
        <v>43804.125</v>
      </c>
      <c r="C2006" s="50" t="s">
        <v>1906</v>
      </c>
      <c r="D2006" s="34"/>
      <c r="E2006" s="37">
        <v>10000000</v>
      </c>
      <c r="F2006" s="37"/>
      <c r="G2006" s="37">
        <f t="shared" si="372"/>
        <v>10000000</v>
      </c>
      <c r="H2006" s="64"/>
      <c r="I2006" s="64">
        <v>623419</v>
      </c>
      <c r="J2006" s="64">
        <v>85587.6</v>
      </c>
      <c r="K2006" s="18">
        <f t="shared" si="373"/>
        <v>9290993.4000000004</v>
      </c>
      <c r="L2006" s="19">
        <f t="shared" si="374"/>
        <v>10666667</v>
      </c>
      <c r="M2006" s="20"/>
      <c r="N2006" s="20"/>
      <c r="O2006" s="81"/>
      <c r="P2006" s="85"/>
      <c r="Q2006" s="85"/>
      <c r="R2006" s="14"/>
      <c r="S2006" s="14"/>
    </row>
    <row r="2007" spans="2:19" ht="12.75" hidden="1" customHeight="1" x14ac:dyDescent="0.25">
      <c r="B2007" s="16">
        <v>43825.125</v>
      </c>
      <c r="C2007" s="50" t="s">
        <v>1907</v>
      </c>
      <c r="D2007" s="34"/>
      <c r="E2007" s="37">
        <v>10000000</v>
      </c>
      <c r="F2007" s="37"/>
      <c r="G2007" s="37">
        <f t="shared" si="372"/>
        <v>10000000</v>
      </c>
      <c r="H2007" s="64"/>
      <c r="I2007" s="64">
        <v>623419</v>
      </c>
      <c r="J2007" s="64">
        <v>85587.6</v>
      </c>
      <c r="K2007" s="18">
        <f t="shared" si="373"/>
        <v>9290993.4000000004</v>
      </c>
      <c r="L2007" s="19">
        <f t="shared" si="374"/>
        <v>666667</v>
      </c>
      <c r="M2007" s="20"/>
      <c r="N2007" s="20"/>
      <c r="O2007" s="81"/>
      <c r="P2007" s="85"/>
      <c r="Q2007" s="85"/>
      <c r="R2007" s="14"/>
      <c r="S2007" s="14"/>
    </row>
    <row r="2008" spans="2:19" ht="12.95" hidden="1" customHeight="1" x14ac:dyDescent="0.25">
      <c r="B2008" s="16"/>
      <c r="C2008" s="50" t="s">
        <v>654</v>
      </c>
      <c r="D2008" s="34"/>
      <c r="E2008" s="76">
        <v>666667</v>
      </c>
      <c r="F2008" s="37"/>
      <c r="G2008" s="37"/>
      <c r="H2008" s="64"/>
      <c r="I2008" s="64"/>
      <c r="J2008" s="64"/>
      <c r="K2008" s="18">
        <f>+G2008-I2008-J2008</f>
        <v>0</v>
      </c>
      <c r="L2008" s="19">
        <f>+L2007-E2008</f>
        <v>0</v>
      </c>
      <c r="M2008" s="20"/>
      <c r="N2008" s="20"/>
      <c r="P2008" s="55"/>
      <c r="Q2008" s="55"/>
      <c r="R2008" s="14"/>
      <c r="S2008" s="14"/>
    </row>
    <row r="2009" spans="2:19" ht="15" hidden="1" x14ac:dyDescent="0.25">
      <c r="B2009" s="9" t="s">
        <v>1908</v>
      </c>
      <c r="C2009" s="10"/>
      <c r="D2009" s="11">
        <v>1700000000</v>
      </c>
      <c r="E2009" s="11">
        <f>+D2009</f>
        <v>1700000000</v>
      </c>
      <c r="F2009" s="11"/>
      <c r="G2009" s="11"/>
      <c r="H2009" s="11"/>
      <c r="I2009" s="11"/>
      <c r="J2009" s="11"/>
      <c r="K2009" s="11"/>
      <c r="L2009" s="11">
        <f>+D2009</f>
        <v>1700000000</v>
      </c>
      <c r="M2009" s="12"/>
      <c r="N2009" s="12"/>
      <c r="P2009" s="55"/>
      <c r="Q2009" s="55"/>
      <c r="R2009" s="14"/>
      <c r="S2009" s="14"/>
    </row>
    <row r="2010" spans="2:19" ht="12.75" hidden="1" customHeight="1" x14ac:dyDescent="0.25">
      <c r="B2010" s="16">
        <v>43754.083333333336</v>
      </c>
      <c r="C2010" s="50" t="s">
        <v>1909</v>
      </c>
      <c r="D2010" s="34"/>
      <c r="E2010" s="37">
        <v>510000000</v>
      </c>
      <c r="F2010" s="37"/>
      <c r="G2010" s="37">
        <f>+E2010</f>
        <v>510000000</v>
      </c>
      <c r="H2010" s="64"/>
      <c r="I2010" s="64"/>
      <c r="J2010" s="64"/>
      <c r="K2010" s="18">
        <f>+G2010-H2010-I2010-J2010</f>
        <v>510000000</v>
      </c>
      <c r="L2010" s="19">
        <f>+L2009-G2010</f>
        <v>1190000000</v>
      </c>
      <c r="M2010" s="20"/>
      <c r="N2010" s="20"/>
      <c r="O2010" s="81">
        <f>+L2012-'[1]ANEXO 7 - PPTO VIG 2019'!T23</f>
        <v>0</v>
      </c>
      <c r="P2010" s="55"/>
      <c r="Q2010" s="55"/>
      <c r="R2010" s="14"/>
      <c r="S2010" s="14"/>
    </row>
    <row r="2011" spans="2:19" ht="12.75" hidden="1" customHeight="1" x14ac:dyDescent="0.25">
      <c r="B2011" s="16">
        <v>43826.125</v>
      </c>
      <c r="C2011" s="50" t="s">
        <v>1910</v>
      </c>
      <c r="D2011" s="34"/>
      <c r="E2011" s="37">
        <v>680000000</v>
      </c>
      <c r="F2011" s="37"/>
      <c r="G2011" s="37">
        <f>+E2011</f>
        <v>680000000</v>
      </c>
      <c r="H2011" s="64"/>
      <c r="I2011" s="64"/>
      <c r="J2011" s="64"/>
      <c r="K2011" s="18">
        <f>+G2011-H2011-I2011-J2011</f>
        <v>680000000</v>
      </c>
      <c r="L2011" s="19">
        <f>+L2010-G2011</f>
        <v>510000000</v>
      </c>
      <c r="M2011" s="20"/>
      <c r="N2011" s="20"/>
      <c r="O2011" s="81"/>
      <c r="P2011" s="55"/>
      <c r="Q2011" s="55"/>
      <c r="R2011" s="14"/>
      <c r="S2011" s="14"/>
    </row>
    <row r="2012" spans="2:19" ht="12.75" hidden="1" customHeight="1" x14ac:dyDescent="0.25">
      <c r="B2012" s="16">
        <v>43851.125</v>
      </c>
      <c r="C2012" s="50" t="s">
        <v>1911</v>
      </c>
      <c r="D2012" s="34"/>
      <c r="E2012" s="37">
        <v>510000000</v>
      </c>
      <c r="F2012" s="37"/>
      <c r="G2012" s="37">
        <f>+E2012</f>
        <v>510000000</v>
      </c>
      <c r="H2012" s="64"/>
      <c r="I2012" s="64"/>
      <c r="J2012" s="64"/>
      <c r="K2012" s="18">
        <f>+G2012-H2012-I2012-J2012</f>
        <v>510000000</v>
      </c>
      <c r="L2012" s="19">
        <f>+L2011-G2012</f>
        <v>0</v>
      </c>
      <c r="M2012" s="20"/>
      <c r="N2012" s="20"/>
      <c r="O2012" s="81"/>
      <c r="P2012" s="55"/>
      <c r="Q2012" s="55"/>
      <c r="R2012" s="14"/>
      <c r="S2012" s="14"/>
    </row>
    <row r="2013" spans="2:19" ht="15" hidden="1" x14ac:dyDescent="0.25">
      <c r="B2013" s="9" t="s">
        <v>1912</v>
      </c>
      <c r="C2013" s="10"/>
      <c r="D2013" s="11">
        <v>24960000</v>
      </c>
      <c r="E2013" s="11">
        <f>+D2013</f>
        <v>24960000</v>
      </c>
      <c r="F2013" s="11"/>
      <c r="G2013" s="11"/>
      <c r="H2013" s="11"/>
      <c r="I2013" s="11"/>
      <c r="J2013" s="11"/>
      <c r="K2013" s="11"/>
      <c r="L2013" s="11">
        <f>+D2013</f>
        <v>24960000</v>
      </c>
      <c r="M2013" s="12"/>
      <c r="N2013" s="12"/>
      <c r="P2013" s="55"/>
      <c r="Q2013" s="55"/>
      <c r="R2013" s="14"/>
      <c r="S2013" s="14"/>
    </row>
    <row r="2014" spans="2:19" ht="12.75" hidden="1" customHeight="1" x14ac:dyDescent="0.25">
      <c r="B2014" s="16">
        <v>43770.083333333336</v>
      </c>
      <c r="C2014" s="50" t="s">
        <v>1913</v>
      </c>
      <c r="D2014" s="34"/>
      <c r="E2014" s="37">
        <v>7765333</v>
      </c>
      <c r="F2014" s="37"/>
      <c r="G2014" s="37">
        <f>+E2014</f>
        <v>7765333</v>
      </c>
      <c r="H2014" s="64"/>
      <c r="I2014" s="64">
        <v>300807.77</v>
      </c>
      <c r="J2014" s="64">
        <v>66461.62</v>
      </c>
      <c r="K2014" s="18">
        <f>+G2014-H2014-I2014-J2014</f>
        <v>7398063.6100000003</v>
      </c>
      <c r="L2014" s="19">
        <f>+L2013-G2014</f>
        <v>17194667</v>
      </c>
      <c r="M2014" s="20"/>
      <c r="N2014" s="20"/>
      <c r="O2014" s="81">
        <f>+L2017-'[1]ANEXO 7 - PPTO VIG 2019'!T97</f>
        <v>0</v>
      </c>
      <c r="P2014" s="55"/>
      <c r="Q2014" s="55"/>
      <c r="R2014" s="14"/>
      <c r="S2014" s="14"/>
    </row>
    <row r="2015" spans="2:19" ht="12.75" hidden="1" customHeight="1" x14ac:dyDescent="0.25">
      <c r="B2015" s="16">
        <v>43802.125</v>
      </c>
      <c r="C2015" s="50" t="s">
        <v>1914</v>
      </c>
      <c r="D2015" s="34"/>
      <c r="E2015" s="37">
        <v>8320000</v>
      </c>
      <c r="F2015" s="37"/>
      <c r="G2015" s="37">
        <f>+E2015</f>
        <v>8320000</v>
      </c>
      <c r="H2015" s="64"/>
      <c r="I2015" s="64">
        <v>273870.18</v>
      </c>
      <c r="J2015" s="64">
        <v>71208.88</v>
      </c>
      <c r="K2015" s="18">
        <f>+G2015-H2015-I2015-J2015</f>
        <v>7974920.9400000004</v>
      </c>
      <c r="L2015" s="19">
        <f>+L2014-G2015</f>
        <v>8874667</v>
      </c>
      <c r="M2015" s="20"/>
      <c r="N2015" s="20"/>
      <c r="O2015" s="81"/>
      <c r="P2015" s="55"/>
      <c r="Q2015" s="55"/>
      <c r="R2015" s="14"/>
      <c r="S2015" s="14"/>
    </row>
    <row r="2016" spans="2:19" ht="12.75" hidden="1" customHeight="1" x14ac:dyDescent="0.25">
      <c r="B2016" s="16">
        <v>43823.125</v>
      </c>
      <c r="C2016" s="50" t="s">
        <v>1915</v>
      </c>
      <c r="D2016" s="34"/>
      <c r="E2016" s="37">
        <v>8320000</v>
      </c>
      <c r="F2016" s="37"/>
      <c r="G2016" s="37">
        <f>+E2016</f>
        <v>8320000</v>
      </c>
      <c r="H2016" s="64"/>
      <c r="I2016" s="64">
        <v>273870.18</v>
      </c>
      <c r="J2016" s="64">
        <v>71208.88</v>
      </c>
      <c r="K2016" s="18">
        <f>+G2016-H2016-I2016-J2016</f>
        <v>7974920.9400000004</v>
      </c>
      <c r="L2016" s="19">
        <f>+L2015-G2016</f>
        <v>554667</v>
      </c>
      <c r="M2016" s="20"/>
      <c r="N2016" s="20"/>
      <c r="O2016" s="81"/>
      <c r="P2016" s="55"/>
      <c r="Q2016" s="55"/>
      <c r="R2016" s="14"/>
      <c r="S2016" s="14"/>
    </row>
    <row r="2017" spans="1:19" ht="12.75" hidden="1" customHeight="1" x14ac:dyDescent="0.25">
      <c r="B2017" s="16"/>
      <c r="C2017" s="50" t="s">
        <v>654</v>
      </c>
      <c r="D2017" s="34"/>
      <c r="E2017" s="37">
        <v>554667</v>
      </c>
      <c r="F2017" s="37"/>
      <c r="G2017" s="37"/>
      <c r="H2017" s="64"/>
      <c r="I2017" s="64"/>
      <c r="J2017" s="64"/>
      <c r="K2017" s="18"/>
      <c r="L2017" s="19">
        <f>+L2016-E2017</f>
        <v>0</v>
      </c>
      <c r="M2017" s="20"/>
      <c r="N2017" s="20"/>
      <c r="O2017" s="81"/>
      <c r="P2017" s="55"/>
      <c r="Q2017" s="55"/>
      <c r="R2017" s="14"/>
      <c r="S2017" s="14"/>
    </row>
    <row r="2018" spans="1:19" ht="15" hidden="1" x14ac:dyDescent="0.25">
      <c r="B2018" s="9" t="s">
        <v>1916</v>
      </c>
      <c r="C2018" s="10"/>
      <c r="D2018" s="11">
        <v>300000000</v>
      </c>
      <c r="E2018" s="11">
        <f>+D2018</f>
        <v>300000000</v>
      </c>
      <c r="F2018" s="11"/>
      <c r="G2018" s="11"/>
      <c r="H2018" s="11"/>
      <c r="I2018" s="11"/>
      <c r="J2018" s="11"/>
      <c r="K2018" s="11"/>
      <c r="L2018" s="11">
        <f>+D2018</f>
        <v>300000000</v>
      </c>
      <c r="M2018" s="12"/>
      <c r="N2018" s="12"/>
      <c r="P2018" s="55"/>
      <c r="Q2018" s="55"/>
      <c r="R2018" s="14"/>
      <c r="S2018" s="14"/>
    </row>
    <row r="2019" spans="1:19" ht="12.75" hidden="1" customHeight="1" x14ac:dyDescent="0.25">
      <c r="B2019" s="16">
        <v>43770.083333333336</v>
      </c>
      <c r="C2019" s="50" t="s">
        <v>1917</v>
      </c>
      <c r="D2019" s="34"/>
      <c r="E2019" s="37">
        <v>90000000</v>
      </c>
      <c r="F2019" s="37"/>
      <c r="G2019" s="37">
        <f>+E2019</f>
        <v>90000000</v>
      </c>
      <c r="H2019" s="64"/>
      <c r="I2019" s="64"/>
      <c r="J2019" s="64"/>
      <c r="K2019" s="18">
        <f>+G2019-H2019-I2019-J2019</f>
        <v>90000000</v>
      </c>
      <c r="L2019" s="19">
        <f>+L2018-G2019</f>
        <v>210000000</v>
      </c>
      <c r="M2019" s="20"/>
      <c r="N2019" s="20"/>
      <c r="O2019" s="81">
        <f>+L2021-'[1]ANEXO 7 - PPTO VIG 2019'!T20</f>
        <v>0</v>
      </c>
      <c r="P2019" s="55"/>
      <c r="Q2019" s="55"/>
      <c r="R2019" s="14"/>
      <c r="S2019" s="14"/>
    </row>
    <row r="2020" spans="1:19" ht="12.75" hidden="1" customHeight="1" x14ac:dyDescent="0.25">
      <c r="B2020" s="16">
        <v>43808.125</v>
      </c>
      <c r="C2020" s="50" t="s">
        <v>1918</v>
      </c>
      <c r="D2020" s="34"/>
      <c r="E2020" s="37">
        <v>120000000</v>
      </c>
      <c r="F2020" s="37"/>
      <c r="G2020" s="37">
        <f>+E2020</f>
        <v>120000000</v>
      </c>
      <c r="H2020" s="64"/>
      <c r="I2020" s="64"/>
      <c r="J2020" s="64"/>
      <c r="K2020" s="18">
        <f>+G2020-H2020-I2020-J2020</f>
        <v>120000000</v>
      </c>
      <c r="L2020" s="19">
        <f>+L2019-G2020</f>
        <v>90000000</v>
      </c>
      <c r="M2020" s="20"/>
      <c r="N2020" s="20"/>
      <c r="O2020" s="81"/>
      <c r="P2020" s="55"/>
      <c r="Q2020" s="55"/>
      <c r="R2020" s="14"/>
      <c r="S2020" s="14"/>
    </row>
    <row r="2021" spans="1:19" ht="12.75" hidden="1" customHeight="1" x14ac:dyDescent="0.25">
      <c r="B2021" s="16">
        <v>43825.125</v>
      </c>
      <c r="C2021" s="50" t="s">
        <v>1919</v>
      </c>
      <c r="D2021" s="34"/>
      <c r="E2021" s="37">
        <v>90000000</v>
      </c>
      <c r="F2021" s="37"/>
      <c r="G2021" s="37">
        <f>+E2021</f>
        <v>90000000</v>
      </c>
      <c r="H2021" s="64"/>
      <c r="I2021" s="64"/>
      <c r="J2021" s="64"/>
      <c r="K2021" s="18">
        <f>+G2021-H2021-I2021-J2021</f>
        <v>90000000</v>
      </c>
      <c r="L2021" s="19">
        <f>+L2020-G2021</f>
        <v>0</v>
      </c>
      <c r="M2021" s="20"/>
      <c r="N2021" s="20"/>
      <c r="O2021" s="81"/>
      <c r="P2021" s="55"/>
      <c r="Q2021" s="55"/>
      <c r="R2021" s="14"/>
      <c r="S2021" s="14"/>
    </row>
    <row r="2022" spans="1:19" ht="15" hidden="1" x14ac:dyDescent="0.25">
      <c r="B2022" s="9" t="s">
        <v>1920</v>
      </c>
      <c r="C2022" s="10"/>
      <c r="D2022" s="11">
        <f>942310399.36+557689600.64</f>
        <v>1500000000</v>
      </c>
      <c r="E2022" s="11">
        <f>+D2022</f>
        <v>1500000000</v>
      </c>
      <c r="F2022" s="11"/>
      <c r="G2022" s="11"/>
      <c r="H2022" s="11"/>
      <c r="I2022" s="11"/>
      <c r="J2022" s="11"/>
      <c r="K2022" s="11"/>
      <c r="L2022" s="11">
        <f>+D2022</f>
        <v>1500000000</v>
      </c>
      <c r="M2022" s="12"/>
      <c r="N2022" s="12"/>
      <c r="P2022" s="55"/>
      <c r="Q2022" s="55"/>
      <c r="R2022" s="14"/>
      <c r="S2022" s="14"/>
    </row>
    <row r="2023" spans="1:19" ht="12.75" hidden="1" customHeight="1" x14ac:dyDescent="0.25">
      <c r="B2023" s="16">
        <v>43809.125</v>
      </c>
      <c r="C2023" s="50" t="s">
        <v>1921</v>
      </c>
      <c r="D2023" s="34"/>
      <c r="E2023" s="37">
        <v>375000000</v>
      </c>
      <c r="F2023" s="37"/>
      <c r="G2023" s="37">
        <f>+E2023</f>
        <v>375000000</v>
      </c>
      <c r="H2023" s="64"/>
      <c r="I2023" s="64"/>
      <c r="J2023" s="64"/>
      <c r="K2023" s="18">
        <f>+G2023-H2023-I2023-J2023</f>
        <v>375000000</v>
      </c>
      <c r="L2023" s="19">
        <f>+L2022-G2023</f>
        <v>1125000000</v>
      </c>
      <c r="M2023" s="20"/>
      <c r="N2023" s="20"/>
      <c r="O2023" s="81">
        <f>+L2026-'[1]ANEXO 7 - PPTO VIG 2019'!T21-'[1]ANEXO 7 - PPTO VIG 2020'!T9</f>
        <v>0</v>
      </c>
      <c r="P2023" s="55"/>
      <c r="Q2023" s="55"/>
      <c r="R2023" s="14"/>
      <c r="S2023" s="14"/>
    </row>
    <row r="2024" spans="1:19" ht="12.75" hidden="1" customHeight="1" x14ac:dyDescent="0.25">
      <c r="B2024" s="16">
        <v>43825.125</v>
      </c>
      <c r="C2024" s="50" t="s">
        <v>1922</v>
      </c>
      <c r="D2024" s="34"/>
      <c r="E2024" s="37">
        <v>567310399.36000001</v>
      </c>
      <c r="F2024" s="37"/>
      <c r="G2024" s="37">
        <f>+E2024</f>
        <v>567310399.36000001</v>
      </c>
      <c r="H2024" s="64"/>
      <c r="I2024" s="64"/>
      <c r="J2024" s="64"/>
      <c r="K2024" s="18">
        <f>+G2024-H2024-I2024-J2024</f>
        <v>567310399.36000001</v>
      </c>
      <c r="L2024" s="19">
        <f>+L2023-G2024</f>
        <v>557689600.63999999</v>
      </c>
      <c r="M2024" s="20"/>
      <c r="N2024" s="20"/>
      <c r="O2024" s="81"/>
      <c r="P2024" s="55"/>
      <c r="Q2024" s="55"/>
      <c r="R2024" s="14"/>
      <c r="S2024" s="14"/>
    </row>
    <row r="2025" spans="1:19" ht="12.75" hidden="1" customHeight="1" x14ac:dyDescent="0.25">
      <c r="B2025" s="16">
        <v>44189.125</v>
      </c>
      <c r="C2025" s="50" t="s">
        <v>1923</v>
      </c>
      <c r="D2025" s="34"/>
      <c r="E2025" s="37">
        <v>300000000</v>
      </c>
      <c r="F2025" s="37"/>
      <c r="G2025" s="37">
        <f>+E2025</f>
        <v>300000000</v>
      </c>
      <c r="H2025" s="64"/>
      <c r="I2025" s="64"/>
      <c r="J2025" s="64"/>
      <c r="K2025" s="18">
        <f>+G2025-H2025-I2025-J2025</f>
        <v>300000000</v>
      </c>
      <c r="L2025" s="19">
        <f>+L2024-G2025</f>
        <v>257689600.63999999</v>
      </c>
      <c r="M2025" s="20"/>
      <c r="N2025" s="20"/>
      <c r="O2025" s="81"/>
      <c r="P2025" s="55"/>
      <c r="Q2025" s="55"/>
      <c r="R2025" s="14"/>
      <c r="S2025" s="14"/>
    </row>
    <row r="2026" spans="1:19" ht="12.75" hidden="1" customHeight="1" x14ac:dyDescent="0.25">
      <c r="B2026" s="16">
        <v>44200.125</v>
      </c>
      <c r="C2026" s="50" t="s">
        <v>1924</v>
      </c>
      <c r="D2026" s="34"/>
      <c r="E2026" s="37">
        <v>257689600.63999999</v>
      </c>
      <c r="F2026" s="37"/>
      <c r="G2026" s="37">
        <f>+E2026</f>
        <v>257689600.63999999</v>
      </c>
      <c r="H2026" s="64"/>
      <c r="I2026" s="64"/>
      <c r="J2026" s="64"/>
      <c r="K2026" s="18">
        <f>+G2026-H2026-I2026-J2026</f>
        <v>257689600.63999999</v>
      </c>
      <c r="L2026" s="19">
        <f>+L2025-G2026</f>
        <v>0</v>
      </c>
      <c r="M2026" s="20"/>
      <c r="N2026" s="20"/>
      <c r="O2026" s="81"/>
      <c r="P2026" s="55"/>
      <c r="Q2026" s="55"/>
      <c r="R2026" s="14"/>
      <c r="S2026" s="14"/>
    </row>
    <row r="2027" spans="1:19" ht="15" hidden="1" x14ac:dyDescent="0.25">
      <c r="B2027" s="9" t="s">
        <v>1925</v>
      </c>
      <c r="C2027" s="10"/>
      <c r="D2027" s="11">
        <v>600000000</v>
      </c>
      <c r="E2027" s="11">
        <f>+D2027</f>
        <v>600000000</v>
      </c>
      <c r="F2027" s="11"/>
      <c r="G2027" s="11"/>
      <c r="H2027" s="11"/>
      <c r="I2027" s="11"/>
      <c r="J2027" s="11"/>
      <c r="K2027" s="11"/>
      <c r="L2027" s="11">
        <f>+D2027</f>
        <v>600000000</v>
      </c>
      <c r="M2027" s="12"/>
      <c r="N2027" s="12"/>
      <c r="P2027" s="55"/>
      <c r="Q2027" s="55"/>
      <c r="R2027" s="14"/>
      <c r="S2027" s="14"/>
    </row>
    <row r="2028" spans="1:19" ht="12.75" hidden="1" customHeight="1" x14ac:dyDescent="0.25">
      <c r="B2028" s="16">
        <v>43809.125</v>
      </c>
      <c r="C2028" s="50" t="s">
        <v>1926</v>
      </c>
      <c r="D2028" s="34"/>
      <c r="E2028" s="37">
        <v>120930358</v>
      </c>
      <c r="F2028" s="37"/>
      <c r="G2028" s="37">
        <f>+E2028</f>
        <v>120930358</v>
      </c>
      <c r="H2028" s="64">
        <v>154426.04999999999</v>
      </c>
      <c r="I2028" s="64">
        <v>596030.6</v>
      </c>
      <c r="J2028" s="64">
        <v>37387.370000000003</v>
      </c>
      <c r="K2028" s="18">
        <f>+G2028-H2028-I2028-J2028</f>
        <v>120142513.98</v>
      </c>
      <c r="L2028" s="19">
        <f>+L2027-G2028</f>
        <v>479069642</v>
      </c>
      <c r="M2028" s="20"/>
      <c r="N2028" s="20"/>
      <c r="O2028" s="81">
        <f>+L2030-'[1]ANEXO 7 - PPTO VIG 2019'!T18</f>
        <v>0</v>
      </c>
      <c r="P2028" s="55"/>
      <c r="Q2028" s="55"/>
      <c r="R2028" s="14"/>
      <c r="S2028" s="14"/>
    </row>
    <row r="2029" spans="1:19" ht="12.75" hidden="1" customHeight="1" x14ac:dyDescent="0.25">
      <c r="B2029" s="16">
        <v>43823.125</v>
      </c>
      <c r="C2029" s="50" t="s">
        <v>1927</v>
      </c>
      <c r="D2029" s="34"/>
      <c r="E2029" s="37">
        <v>148438768</v>
      </c>
      <c r="F2029" s="37"/>
      <c r="G2029" s="37">
        <f>+E2029</f>
        <v>148438768</v>
      </c>
      <c r="H2029" s="64">
        <v>173809.65</v>
      </c>
      <c r="I2029" s="64">
        <v>670844.46</v>
      </c>
      <c r="J2029" s="64">
        <v>58912.34</v>
      </c>
      <c r="K2029" s="18">
        <f>+G2029-H2029-I2029-J2029</f>
        <v>147535201.54999998</v>
      </c>
      <c r="L2029" s="19">
        <f>+L2028-G2029</f>
        <v>330630874</v>
      </c>
      <c r="M2029" s="20"/>
      <c r="N2029" s="20"/>
      <c r="O2029" s="81"/>
      <c r="P2029" s="55"/>
      <c r="Q2029" s="55"/>
      <c r="R2029" s="14"/>
      <c r="S2029" s="14"/>
    </row>
    <row r="2030" spans="1:19" ht="12.75" hidden="1" customHeight="1" x14ac:dyDescent="0.25">
      <c r="B2030" s="16">
        <v>43826.125</v>
      </c>
      <c r="C2030" s="50" t="s">
        <v>1928</v>
      </c>
      <c r="D2030" s="34"/>
      <c r="E2030" s="37">
        <v>330630874</v>
      </c>
      <c r="F2030" s="37"/>
      <c r="G2030" s="37">
        <f>+E2030</f>
        <v>330630874</v>
      </c>
      <c r="H2030" s="64">
        <v>377070</v>
      </c>
      <c r="I2030" s="64">
        <v>1455357.97</v>
      </c>
      <c r="J2030" s="64">
        <v>127806.89</v>
      </c>
      <c r="K2030" s="18">
        <f>+G2030-H2030-I2030-J2030</f>
        <v>328670639.13999999</v>
      </c>
      <c r="L2030" s="19">
        <f>+L2029-G2030</f>
        <v>0</v>
      </c>
      <c r="M2030" s="20"/>
      <c r="N2030" s="20"/>
      <c r="O2030" s="81"/>
      <c r="P2030" s="55"/>
      <c r="Q2030" s="55"/>
      <c r="R2030" s="14"/>
      <c r="S2030" s="14"/>
    </row>
    <row r="2031" spans="1:19" ht="15" hidden="1" x14ac:dyDescent="0.25">
      <c r="A2031" s="21" t="s">
        <v>1929</v>
      </c>
      <c r="B2031" s="9" t="s">
        <v>1930</v>
      </c>
      <c r="C2031" s="10"/>
      <c r="D2031" s="11">
        <f>560000000+240000000</f>
        <v>800000000</v>
      </c>
      <c r="E2031" s="11">
        <f>+D2031</f>
        <v>800000000</v>
      </c>
      <c r="F2031" s="11"/>
      <c r="G2031" s="11"/>
      <c r="H2031" s="11"/>
      <c r="I2031" s="11"/>
      <c r="J2031" s="11"/>
      <c r="K2031" s="11"/>
      <c r="L2031" s="11">
        <f>+D2031</f>
        <v>800000000</v>
      </c>
      <c r="M2031" s="12"/>
      <c r="N2031" s="12"/>
      <c r="P2031" s="55"/>
      <c r="Q2031" s="55"/>
      <c r="R2031" s="14"/>
      <c r="S2031" s="14"/>
    </row>
    <row r="2032" spans="1:19" ht="12.75" hidden="1" customHeight="1" x14ac:dyDescent="0.25">
      <c r="B2032" s="16">
        <v>43829.125</v>
      </c>
      <c r="C2032" s="50" t="s">
        <v>1931</v>
      </c>
      <c r="D2032" s="34"/>
      <c r="E2032" s="37">
        <v>190344000</v>
      </c>
      <c r="F2032" s="37"/>
      <c r="G2032" s="37">
        <f>+E2032</f>
        <v>190344000</v>
      </c>
      <c r="H2032" s="64"/>
      <c r="I2032" s="64"/>
      <c r="J2032" s="64"/>
      <c r="K2032" s="18">
        <f>+G2032-H2032-I2032-J2032</f>
        <v>190344000</v>
      </c>
      <c r="L2032" s="19">
        <f>+L2031-G2032</f>
        <v>609656000</v>
      </c>
      <c r="M2032" s="20"/>
      <c r="N2032" s="20"/>
      <c r="O2032" s="81">
        <f>+L2035-'[1]ANEXO 7 - PPTO VIG 2019'!T24-'[1]ANEXO 7 - PPTO VIG 2020'!T23</f>
        <v>0</v>
      </c>
      <c r="P2032" s="55"/>
      <c r="Q2032" s="55"/>
      <c r="R2032" s="14"/>
      <c r="S2032" s="14"/>
    </row>
    <row r="2033" spans="1:19" ht="12.75" hidden="1" customHeight="1" x14ac:dyDescent="0.25">
      <c r="B2033" s="16">
        <v>43833.125</v>
      </c>
      <c r="C2033" s="50" t="s">
        <v>1932</v>
      </c>
      <c r="D2033" s="34"/>
      <c r="E2033" s="37">
        <v>319999990.58999997</v>
      </c>
      <c r="F2033" s="37"/>
      <c r="G2033" s="37">
        <f>+E2033</f>
        <v>319999990.58999997</v>
      </c>
      <c r="H2033" s="64"/>
      <c r="I2033" s="64"/>
      <c r="J2033" s="64"/>
      <c r="K2033" s="18">
        <f>+G2033-H2033-I2033-J2033</f>
        <v>319999990.58999997</v>
      </c>
      <c r="L2033" s="19">
        <f>+L2032-G2033</f>
        <v>289656009.41000003</v>
      </c>
      <c r="M2033" s="20"/>
      <c r="N2033" s="20"/>
      <c r="O2033" s="81"/>
      <c r="P2033" s="55"/>
      <c r="Q2033" s="55"/>
      <c r="R2033" s="14"/>
      <c r="S2033" s="14"/>
    </row>
    <row r="2034" spans="1:19" ht="12.75" hidden="1" customHeight="1" x14ac:dyDescent="0.25">
      <c r="B2034" s="16">
        <v>43840.125</v>
      </c>
      <c r="C2034" s="50" t="s">
        <v>1933</v>
      </c>
      <c r="D2034" s="34"/>
      <c r="E2034" s="37">
        <f>49655978.04+31.37</f>
        <v>49656009.409999996</v>
      </c>
      <c r="F2034" s="37"/>
      <c r="G2034" s="37">
        <f>+E2034</f>
        <v>49656009.409999996</v>
      </c>
      <c r="H2034" s="64"/>
      <c r="I2034" s="64"/>
      <c r="J2034" s="64"/>
      <c r="K2034" s="18">
        <f>+G2034-H2034-I2034-J2034</f>
        <v>49656009.409999996</v>
      </c>
      <c r="L2034" s="19">
        <f>+L2033-G2034</f>
        <v>240000000.00000003</v>
      </c>
      <c r="M2034" s="20"/>
      <c r="N2034" s="20"/>
      <c r="O2034" s="81"/>
      <c r="P2034" s="55"/>
      <c r="Q2034" s="55"/>
      <c r="R2034" s="14"/>
      <c r="S2034" s="14"/>
    </row>
    <row r="2035" spans="1:19" ht="12.75" hidden="1" customHeight="1" x14ac:dyDescent="0.25">
      <c r="B2035" s="89">
        <v>44174.125</v>
      </c>
      <c r="C2035" s="92" t="s">
        <v>1934</v>
      </c>
      <c r="D2035" s="23"/>
      <c r="E2035" s="91">
        <v>160000000</v>
      </c>
      <c r="F2035" s="93"/>
      <c r="G2035" s="93">
        <f>+E2035</f>
        <v>160000000</v>
      </c>
      <c r="H2035" s="94"/>
      <c r="I2035" s="94"/>
      <c r="J2035" s="94"/>
      <c r="K2035" s="25">
        <f>+G2035-H2035-I2035-J2035</f>
        <v>160000000</v>
      </c>
      <c r="L2035" s="95">
        <f>+L2034-G2035</f>
        <v>80000000.00000003</v>
      </c>
      <c r="M2035" s="96"/>
      <c r="N2035" s="96"/>
      <c r="O2035" s="81"/>
      <c r="P2035" s="55"/>
      <c r="Q2035" s="55"/>
      <c r="R2035" s="14"/>
      <c r="S2035" s="14"/>
    </row>
    <row r="2036" spans="1:19" ht="15" hidden="1" x14ac:dyDescent="0.25">
      <c r="B2036" s="9" t="s">
        <v>1935</v>
      </c>
      <c r="C2036" s="10"/>
      <c r="D2036" s="11">
        <v>910000000</v>
      </c>
      <c r="E2036" s="11">
        <f>+D2036</f>
        <v>910000000</v>
      </c>
      <c r="F2036" s="11"/>
      <c r="G2036" s="11"/>
      <c r="H2036" s="11"/>
      <c r="I2036" s="11"/>
      <c r="J2036" s="11"/>
      <c r="K2036" s="11"/>
      <c r="L2036" s="11">
        <f>+D2036</f>
        <v>910000000</v>
      </c>
      <c r="M2036" s="12"/>
      <c r="N2036" s="12"/>
      <c r="P2036" s="55"/>
      <c r="Q2036" s="55"/>
      <c r="R2036" s="14"/>
      <c r="S2036" s="14"/>
    </row>
    <row r="2037" spans="1:19" ht="12.75" hidden="1" customHeight="1" x14ac:dyDescent="0.25">
      <c r="B2037" s="16">
        <v>43833.125</v>
      </c>
      <c r="C2037" s="50" t="s">
        <v>1936</v>
      </c>
      <c r="D2037" s="34"/>
      <c r="E2037" s="37">
        <v>273000000</v>
      </c>
      <c r="F2037" s="37"/>
      <c r="G2037" s="37">
        <f>+E2037</f>
        <v>273000000</v>
      </c>
      <c r="H2037" s="64"/>
      <c r="I2037" s="64"/>
      <c r="J2037" s="64"/>
      <c r="K2037" s="18">
        <f>+G2037-H2037-I2037-J2037</f>
        <v>273000000</v>
      </c>
      <c r="L2037" s="19">
        <f>+L2036-G2037</f>
        <v>637000000</v>
      </c>
      <c r="M2037" s="20"/>
      <c r="N2037" s="20"/>
      <c r="O2037" s="81">
        <f>+L2040-'[1]ANEXO 7 - PPTO VIG 2020'!T32</f>
        <v>0</v>
      </c>
      <c r="P2037" s="55"/>
      <c r="Q2037" s="55"/>
      <c r="R2037" s="14"/>
      <c r="S2037" s="14"/>
    </row>
    <row r="2038" spans="1:19" ht="12.75" hidden="1" customHeight="1" x14ac:dyDescent="0.25">
      <c r="B2038" s="16">
        <v>43994.083333333336</v>
      </c>
      <c r="C2038" s="50" t="s">
        <v>1937</v>
      </c>
      <c r="D2038" s="34"/>
      <c r="E2038" s="37">
        <v>273000000</v>
      </c>
      <c r="F2038" s="37"/>
      <c r="G2038" s="37">
        <f>+E2038</f>
        <v>273000000</v>
      </c>
      <c r="H2038" s="64"/>
      <c r="I2038" s="64"/>
      <c r="J2038" s="64"/>
      <c r="K2038" s="18">
        <f>+G2038-H2038-I2038-J2038</f>
        <v>273000000</v>
      </c>
      <c r="L2038" s="19">
        <f>+L2037-G2038</f>
        <v>364000000</v>
      </c>
      <c r="M2038" s="20"/>
      <c r="N2038" s="20"/>
      <c r="O2038" s="81"/>
      <c r="P2038" s="55"/>
      <c r="Q2038" s="55"/>
      <c r="R2038" s="14"/>
      <c r="S2038" s="14"/>
    </row>
    <row r="2039" spans="1:19" ht="12.75" hidden="1" customHeight="1" x14ac:dyDescent="0.25">
      <c r="B2039" s="16">
        <v>44130.083333333336</v>
      </c>
      <c r="C2039" s="50" t="s">
        <v>1938</v>
      </c>
      <c r="D2039" s="34"/>
      <c r="E2039" s="37">
        <v>273000000</v>
      </c>
      <c r="F2039" s="37"/>
      <c r="G2039" s="37">
        <f>+E2039</f>
        <v>273000000</v>
      </c>
      <c r="H2039" s="64"/>
      <c r="I2039" s="64"/>
      <c r="J2039" s="64"/>
      <c r="K2039" s="18">
        <f>+G2039-H2039-I2039-J2039</f>
        <v>273000000</v>
      </c>
      <c r="L2039" s="19">
        <f>+L2038-G2039</f>
        <v>91000000</v>
      </c>
      <c r="M2039" s="20"/>
      <c r="N2039" s="20"/>
      <c r="O2039" s="81"/>
      <c r="P2039" s="55"/>
      <c r="Q2039" s="55"/>
      <c r="R2039" s="14"/>
      <c r="S2039" s="14"/>
    </row>
    <row r="2040" spans="1:19" ht="12.75" hidden="1" customHeight="1" x14ac:dyDescent="0.25">
      <c r="B2040" s="16">
        <v>44200.125</v>
      </c>
      <c r="C2040" s="50" t="s">
        <v>1939</v>
      </c>
      <c r="D2040" s="34"/>
      <c r="E2040" s="37">
        <v>91000000</v>
      </c>
      <c r="F2040" s="37"/>
      <c r="G2040" s="37">
        <f>+E2040</f>
        <v>91000000</v>
      </c>
      <c r="H2040" s="64"/>
      <c r="I2040" s="64"/>
      <c r="J2040" s="64"/>
      <c r="K2040" s="18">
        <f>+G2040-H2040-I2040-J2040</f>
        <v>91000000</v>
      </c>
      <c r="L2040" s="19">
        <f>+L2039-G2040</f>
        <v>0</v>
      </c>
      <c r="M2040" s="20"/>
      <c r="N2040" s="20"/>
      <c r="O2040" s="81"/>
      <c r="P2040" s="55"/>
      <c r="Q2040" s="55"/>
      <c r="R2040" s="14"/>
      <c r="S2040" s="14"/>
    </row>
    <row r="2041" spans="1:19" ht="15" hidden="1" x14ac:dyDescent="0.25">
      <c r="B2041" s="9" t="s">
        <v>1940</v>
      </c>
      <c r="C2041" s="10"/>
      <c r="D2041" s="11">
        <v>123308000</v>
      </c>
      <c r="E2041" s="11">
        <f>+D2041</f>
        <v>123308000</v>
      </c>
      <c r="F2041" s="11"/>
      <c r="G2041" s="11"/>
      <c r="H2041" s="11"/>
      <c r="I2041" s="11"/>
      <c r="J2041" s="11"/>
      <c r="K2041" s="11"/>
      <c r="L2041" s="11">
        <f>+D2041</f>
        <v>123308000</v>
      </c>
      <c r="M2041" s="12"/>
      <c r="N2041" s="12"/>
      <c r="P2041" s="55"/>
      <c r="Q2041" s="55"/>
      <c r="R2041" s="14"/>
      <c r="S2041" s="14"/>
    </row>
    <row r="2042" spans="1:19" ht="12.75" hidden="1" customHeight="1" x14ac:dyDescent="0.25">
      <c r="B2042" s="16">
        <v>43833.125</v>
      </c>
      <c r="C2042" s="50" t="s">
        <v>1941</v>
      </c>
      <c r="D2042" s="34"/>
      <c r="E2042" s="37">
        <v>49323200</v>
      </c>
      <c r="F2042" s="37"/>
      <c r="G2042" s="37">
        <f>+E2042</f>
        <v>49323200</v>
      </c>
      <c r="H2042" s="64"/>
      <c r="I2042" s="64"/>
      <c r="J2042" s="64"/>
      <c r="K2042" s="18">
        <f>+G2042-H2042-I2042-J2042</f>
        <v>49323200</v>
      </c>
      <c r="L2042" s="19">
        <f>+L2041-G2042</f>
        <v>73984800</v>
      </c>
      <c r="M2042" s="20"/>
      <c r="N2042" s="20"/>
      <c r="O2042" s="81">
        <f>+L2044-'[1]ANEXO 7 - PPTO VIG 2019'!T19</f>
        <v>0</v>
      </c>
      <c r="P2042" s="55"/>
      <c r="Q2042" s="55"/>
      <c r="R2042" s="14"/>
      <c r="S2042" s="14"/>
    </row>
    <row r="2043" spans="1:19" ht="12.75" hidden="1" customHeight="1" x14ac:dyDescent="0.25">
      <c r="B2043" s="16">
        <v>43949.083333333336</v>
      </c>
      <c r="C2043" s="50" t="s">
        <v>1942</v>
      </c>
      <c r="D2043" s="34"/>
      <c r="E2043" s="37">
        <v>49323200</v>
      </c>
      <c r="F2043" s="37"/>
      <c r="G2043" s="37">
        <f>+E2043</f>
        <v>49323200</v>
      </c>
      <c r="H2043" s="64"/>
      <c r="I2043" s="64"/>
      <c r="J2043" s="64"/>
      <c r="K2043" s="18">
        <f>+G2043-H2043-I2043-J2043</f>
        <v>49323200</v>
      </c>
      <c r="L2043" s="19">
        <f>+L2042-G2043</f>
        <v>24661600</v>
      </c>
      <c r="M2043" s="20"/>
      <c r="N2043" s="20"/>
      <c r="O2043" s="81"/>
      <c r="P2043" s="55"/>
      <c r="Q2043" s="55"/>
      <c r="R2043" s="14"/>
      <c r="S2043" s="14"/>
    </row>
    <row r="2044" spans="1:19" ht="12.75" hidden="1" customHeight="1" x14ac:dyDescent="0.25">
      <c r="B2044" s="16">
        <v>43950.083333333336</v>
      </c>
      <c r="C2044" s="50" t="s">
        <v>1943</v>
      </c>
      <c r="D2044" s="34"/>
      <c r="E2044" s="37">
        <v>24661600</v>
      </c>
      <c r="F2044" s="37"/>
      <c r="G2044" s="37">
        <f>+E2044</f>
        <v>24661600</v>
      </c>
      <c r="H2044" s="64"/>
      <c r="I2044" s="64"/>
      <c r="J2044" s="64"/>
      <c r="K2044" s="18">
        <f>+G2044-H2044-I2044-J2044</f>
        <v>24661600</v>
      </c>
      <c r="L2044" s="19">
        <f>+L2043-G2044</f>
        <v>0</v>
      </c>
      <c r="M2044" s="20"/>
      <c r="N2044" s="20"/>
      <c r="O2044" s="81"/>
      <c r="P2044" s="55"/>
      <c r="Q2044" s="55"/>
      <c r="R2044" s="14"/>
      <c r="S2044" s="14"/>
    </row>
    <row r="2045" spans="1:19" ht="15" hidden="1" x14ac:dyDescent="0.25">
      <c r="A2045" s="21">
        <v>3752021</v>
      </c>
      <c r="B2045" s="9" t="s">
        <v>1944</v>
      </c>
      <c r="C2045" s="10"/>
      <c r="D2045" s="11">
        <f>3322377120+1453539990</f>
        <v>4775917110</v>
      </c>
      <c r="E2045" s="11">
        <f>+D2045</f>
        <v>4775917110</v>
      </c>
      <c r="F2045" s="11"/>
      <c r="G2045" s="11"/>
      <c r="H2045" s="11"/>
      <c r="I2045" s="11"/>
      <c r="J2045" s="11"/>
      <c r="K2045" s="11"/>
      <c r="L2045" s="11">
        <f>+D2045</f>
        <v>4775917110</v>
      </c>
      <c r="M2045" s="12"/>
      <c r="N2045" s="12"/>
      <c r="P2045" s="55"/>
      <c r="Q2045" s="55"/>
      <c r="R2045" s="14"/>
      <c r="S2045" s="14"/>
    </row>
    <row r="2046" spans="1:19" ht="12.75" hidden="1" customHeight="1" x14ac:dyDescent="0.25">
      <c r="B2046" s="16">
        <v>43850.125</v>
      </c>
      <c r="C2046" s="50" t="s">
        <v>1945</v>
      </c>
      <c r="D2046" s="34"/>
      <c r="E2046" s="37">
        <v>200726951</v>
      </c>
      <c r="F2046" s="37"/>
      <c r="G2046" s="37">
        <f t="shared" ref="G2046:G2068" si="375">+E2046</f>
        <v>200726951</v>
      </c>
      <c r="H2046" s="64"/>
      <c r="I2046" s="64"/>
      <c r="J2046" s="64"/>
      <c r="K2046" s="18">
        <f t="shared" ref="K2046:K2068" si="376">+G2046-H2046-I2046-J2046</f>
        <v>200726951</v>
      </c>
      <c r="L2046" s="19">
        <f t="shared" ref="L2046:L2068" si="377">+L2045-G2046</f>
        <v>4575190159</v>
      </c>
      <c r="M2046" s="20"/>
      <c r="N2046" s="20"/>
      <c r="O2046" s="81">
        <f>+L2068-'[1]ANEXO 7 - PPTO VIG 2019'!T95-'[1]ANEXO 7 - PPTO VIG 2020'!T97-'[1]ANEXO 7 - PPTO VIG 2021'!AB137</f>
        <v>58833762</v>
      </c>
      <c r="P2046" s="55"/>
      <c r="Q2046" s="55"/>
      <c r="R2046" s="14"/>
      <c r="S2046" s="14"/>
    </row>
    <row r="2047" spans="1:19" ht="12.75" hidden="1" customHeight="1" x14ac:dyDescent="0.25">
      <c r="B2047" s="16">
        <v>43889.125</v>
      </c>
      <c r="C2047" s="50" t="s">
        <v>1946</v>
      </c>
      <c r="D2047" s="34"/>
      <c r="E2047" s="37">
        <v>207648570</v>
      </c>
      <c r="F2047" s="37"/>
      <c r="G2047" s="37">
        <f t="shared" si="375"/>
        <v>207648570</v>
      </c>
      <c r="H2047" s="64"/>
      <c r="I2047" s="64"/>
      <c r="J2047" s="64"/>
      <c r="K2047" s="18">
        <f t="shared" si="376"/>
        <v>207648570</v>
      </c>
      <c r="L2047" s="19">
        <f t="shared" si="377"/>
        <v>4367541589</v>
      </c>
      <c r="M2047" s="20"/>
      <c r="N2047" s="20"/>
      <c r="O2047" s="81"/>
      <c r="P2047" s="55"/>
      <c r="Q2047" s="55"/>
      <c r="R2047" s="14"/>
      <c r="S2047" s="14"/>
    </row>
    <row r="2048" spans="1:19" ht="12.75" hidden="1" customHeight="1" x14ac:dyDescent="0.25">
      <c r="B2048" s="16">
        <v>43889.125</v>
      </c>
      <c r="C2048" s="50" t="s">
        <v>1947</v>
      </c>
      <c r="D2048" s="34"/>
      <c r="E2048" s="37">
        <v>207648570</v>
      </c>
      <c r="F2048" s="37"/>
      <c r="G2048" s="37">
        <f t="shared" si="375"/>
        <v>207648570</v>
      </c>
      <c r="H2048" s="64"/>
      <c r="I2048" s="64"/>
      <c r="J2048" s="64"/>
      <c r="K2048" s="18">
        <f t="shared" si="376"/>
        <v>207648570</v>
      </c>
      <c r="L2048" s="19">
        <f t="shared" si="377"/>
        <v>4159893019</v>
      </c>
      <c r="M2048" s="20"/>
      <c r="N2048" s="20"/>
      <c r="O2048" s="81"/>
      <c r="P2048" s="55"/>
      <c r="Q2048" s="55"/>
      <c r="R2048" s="14"/>
      <c r="S2048" s="14"/>
    </row>
    <row r="2049" spans="2:19" ht="12.75" hidden="1" customHeight="1" x14ac:dyDescent="0.25">
      <c r="B2049" s="16">
        <v>43889.125</v>
      </c>
      <c r="C2049" s="50" t="s">
        <v>1948</v>
      </c>
      <c r="D2049" s="34"/>
      <c r="E2049" s="37">
        <v>207648570</v>
      </c>
      <c r="F2049" s="37"/>
      <c r="G2049" s="37">
        <f t="shared" si="375"/>
        <v>207648570</v>
      </c>
      <c r="H2049" s="64"/>
      <c r="I2049" s="64"/>
      <c r="J2049" s="64"/>
      <c r="K2049" s="18">
        <f t="shared" si="376"/>
        <v>207648570</v>
      </c>
      <c r="L2049" s="19">
        <f t="shared" si="377"/>
        <v>3952244449</v>
      </c>
      <c r="M2049" s="20"/>
      <c r="N2049" s="20"/>
      <c r="O2049" s="81"/>
      <c r="P2049" s="55"/>
      <c r="Q2049" s="55"/>
      <c r="R2049" s="14"/>
      <c r="S2049" s="14"/>
    </row>
    <row r="2050" spans="2:19" ht="12.75" hidden="1" customHeight="1" x14ac:dyDescent="0.25">
      <c r="B2050" s="16">
        <v>43956.083333333336</v>
      </c>
      <c r="C2050" s="50" t="s">
        <v>1949</v>
      </c>
      <c r="D2050" s="34"/>
      <c r="E2050" s="37">
        <v>207648570</v>
      </c>
      <c r="F2050" s="37"/>
      <c r="G2050" s="37">
        <f t="shared" si="375"/>
        <v>207648570</v>
      </c>
      <c r="H2050" s="64"/>
      <c r="I2050" s="64"/>
      <c r="J2050" s="64"/>
      <c r="K2050" s="18">
        <f t="shared" si="376"/>
        <v>207648570</v>
      </c>
      <c r="L2050" s="19">
        <f t="shared" si="377"/>
        <v>3744595879</v>
      </c>
      <c r="M2050" s="20"/>
      <c r="N2050" s="20"/>
      <c r="O2050" s="81"/>
      <c r="P2050" s="55"/>
      <c r="Q2050" s="55"/>
      <c r="R2050" s="14"/>
      <c r="S2050" s="14"/>
    </row>
    <row r="2051" spans="2:19" ht="12.75" hidden="1" customHeight="1" x14ac:dyDescent="0.25">
      <c r="B2051" s="16">
        <v>43956.083333333336</v>
      </c>
      <c r="C2051" s="50" t="s">
        <v>1950</v>
      </c>
      <c r="D2051" s="34"/>
      <c r="E2051" s="37">
        <v>207648570</v>
      </c>
      <c r="F2051" s="37"/>
      <c r="G2051" s="37">
        <f t="shared" si="375"/>
        <v>207648570</v>
      </c>
      <c r="H2051" s="64"/>
      <c r="I2051" s="64"/>
      <c r="J2051" s="64"/>
      <c r="K2051" s="18">
        <f t="shared" si="376"/>
        <v>207648570</v>
      </c>
      <c r="L2051" s="19">
        <f t="shared" si="377"/>
        <v>3536947309</v>
      </c>
      <c r="M2051" s="20"/>
      <c r="N2051" s="20"/>
      <c r="O2051" s="81"/>
      <c r="P2051" s="55"/>
      <c r="Q2051" s="55"/>
      <c r="R2051" s="14"/>
      <c r="S2051" s="14"/>
    </row>
    <row r="2052" spans="2:19" ht="12.75" hidden="1" customHeight="1" x14ac:dyDescent="0.25">
      <c r="B2052" s="16">
        <v>44133</v>
      </c>
      <c r="C2052" s="50" t="s">
        <v>1951</v>
      </c>
      <c r="D2052" s="34"/>
      <c r="E2052" s="37">
        <v>155736427</v>
      </c>
      <c r="F2052" s="37"/>
      <c r="G2052" s="37">
        <f t="shared" si="375"/>
        <v>155736427</v>
      </c>
      <c r="H2052" s="64"/>
      <c r="I2052" s="64"/>
      <c r="J2052" s="64"/>
      <c r="K2052" s="18">
        <f t="shared" si="376"/>
        <v>155736427</v>
      </c>
      <c r="L2052" s="19">
        <f t="shared" si="377"/>
        <v>3381210882</v>
      </c>
      <c r="M2052" s="20"/>
      <c r="N2052" s="20"/>
      <c r="O2052" s="81"/>
      <c r="P2052" s="55"/>
      <c r="Q2052" s="55"/>
      <c r="R2052" s="14"/>
      <c r="S2052" s="14"/>
    </row>
    <row r="2053" spans="2:19" ht="12.75" hidden="1" customHeight="1" x14ac:dyDescent="0.25">
      <c r="B2053" s="16">
        <v>44140</v>
      </c>
      <c r="C2053" s="50" t="s">
        <v>1952</v>
      </c>
      <c r="D2053" s="34"/>
      <c r="E2053" s="37">
        <v>207648570</v>
      </c>
      <c r="F2053" s="37"/>
      <c r="G2053" s="37">
        <f t="shared" si="375"/>
        <v>207648570</v>
      </c>
      <c r="H2053" s="64"/>
      <c r="I2053" s="64"/>
      <c r="J2053" s="64"/>
      <c r="K2053" s="18">
        <f t="shared" si="376"/>
        <v>207648570</v>
      </c>
      <c r="L2053" s="19">
        <f t="shared" si="377"/>
        <v>3173562312</v>
      </c>
      <c r="M2053" s="20"/>
      <c r="N2053" s="20"/>
      <c r="O2053" s="81"/>
      <c r="P2053" s="55"/>
      <c r="Q2053" s="55"/>
      <c r="R2053" s="14"/>
      <c r="S2053" s="14"/>
    </row>
    <row r="2054" spans="2:19" ht="12.75" hidden="1" customHeight="1" x14ac:dyDescent="0.25">
      <c r="B2054" s="16">
        <v>44152.125</v>
      </c>
      <c r="C2054" s="50" t="s">
        <v>1953</v>
      </c>
      <c r="D2054" s="34"/>
      <c r="E2054" s="37">
        <v>207648570</v>
      </c>
      <c r="F2054" s="37"/>
      <c r="G2054" s="37">
        <f t="shared" si="375"/>
        <v>207648570</v>
      </c>
      <c r="H2054" s="64"/>
      <c r="I2054" s="64"/>
      <c r="J2054" s="64"/>
      <c r="K2054" s="18">
        <f t="shared" si="376"/>
        <v>207648570</v>
      </c>
      <c r="L2054" s="19">
        <f t="shared" si="377"/>
        <v>2965913742</v>
      </c>
      <c r="M2054" s="20"/>
      <c r="N2054" s="20"/>
      <c r="O2054" s="81"/>
      <c r="P2054" s="55"/>
      <c r="Q2054" s="55"/>
      <c r="R2054" s="14"/>
      <c r="S2054" s="14"/>
    </row>
    <row r="2055" spans="2:19" ht="12.75" hidden="1" customHeight="1" x14ac:dyDescent="0.25">
      <c r="B2055" s="16">
        <v>44152.125</v>
      </c>
      <c r="C2055" s="50" t="s">
        <v>1954</v>
      </c>
      <c r="D2055" s="34"/>
      <c r="E2055" s="37">
        <v>207648570</v>
      </c>
      <c r="F2055" s="37"/>
      <c r="G2055" s="37">
        <f t="shared" si="375"/>
        <v>207648570</v>
      </c>
      <c r="H2055" s="64"/>
      <c r="I2055" s="64"/>
      <c r="J2055" s="64"/>
      <c r="K2055" s="18">
        <f t="shared" si="376"/>
        <v>207648570</v>
      </c>
      <c r="L2055" s="19">
        <f t="shared" si="377"/>
        <v>2758265172</v>
      </c>
      <c r="M2055" s="20"/>
      <c r="N2055" s="20"/>
      <c r="O2055" s="81"/>
      <c r="P2055" s="55"/>
      <c r="Q2055" s="55"/>
      <c r="R2055" s="14"/>
      <c r="S2055" s="14"/>
    </row>
    <row r="2056" spans="2:19" ht="12.75" hidden="1" customHeight="1" x14ac:dyDescent="0.25">
      <c r="B2056" s="16">
        <v>44161.125</v>
      </c>
      <c r="C2056" s="50" t="s">
        <v>1955</v>
      </c>
      <c r="D2056" s="34"/>
      <c r="E2056" s="37">
        <v>207648570</v>
      </c>
      <c r="F2056" s="37"/>
      <c r="G2056" s="37">
        <f t="shared" si="375"/>
        <v>207648570</v>
      </c>
      <c r="H2056" s="64"/>
      <c r="I2056" s="64"/>
      <c r="J2056" s="64"/>
      <c r="K2056" s="18">
        <f t="shared" si="376"/>
        <v>207648570</v>
      </c>
      <c r="L2056" s="19">
        <f t="shared" si="377"/>
        <v>2550616602</v>
      </c>
      <c r="M2056" s="20"/>
      <c r="N2056" s="20"/>
      <c r="O2056" s="81"/>
      <c r="P2056" s="55"/>
      <c r="Q2056" s="55"/>
      <c r="R2056" s="14"/>
      <c r="S2056" s="14"/>
    </row>
    <row r="2057" spans="2:19" ht="12.75" hidden="1" customHeight="1" x14ac:dyDescent="0.25">
      <c r="B2057" s="16">
        <v>44160.125</v>
      </c>
      <c r="C2057" s="50" t="s">
        <v>1956</v>
      </c>
      <c r="D2057" s="34"/>
      <c r="E2057" s="37">
        <v>207648570</v>
      </c>
      <c r="F2057" s="37"/>
      <c r="G2057" s="37">
        <f t="shared" si="375"/>
        <v>207648570</v>
      </c>
      <c r="H2057" s="64"/>
      <c r="I2057" s="64"/>
      <c r="J2057" s="64"/>
      <c r="K2057" s="18">
        <f t="shared" si="376"/>
        <v>207648570</v>
      </c>
      <c r="L2057" s="19">
        <f t="shared" si="377"/>
        <v>2342968032</v>
      </c>
      <c r="M2057" s="20"/>
      <c r="N2057" s="20"/>
      <c r="O2057" s="81"/>
      <c r="P2057" s="55"/>
      <c r="Q2057" s="55"/>
      <c r="R2057" s="14"/>
      <c r="S2057" s="14"/>
    </row>
    <row r="2058" spans="2:19" ht="12.75" hidden="1" customHeight="1" x14ac:dyDescent="0.25">
      <c r="B2058" s="16">
        <v>44175.125</v>
      </c>
      <c r="C2058" s="50" t="s">
        <v>1957</v>
      </c>
      <c r="D2058" s="34"/>
      <c r="E2058" s="37">
        <v>207648570</v>
      </c>
      <c r="F2058" s="37"/>
      <c r="G2058" s="37">
        <f t="shared" si="375"/>
        <v>207648570</v>
      </c>
      <c r="H2058" s="64"/>
      <c r="I2058" s="64"/>
      <c r="J2058" s="64"/>
      <c r="K2058" s="18">
        <f t="shared" si="376"/>
        <v>207648570</v>
      </c>
      <c r="L2058" s="19">
        <f t="shared" si="377"/>
        <v>2135319462</v>
      </c>
      <c r="M2058" s="20"/>
      <c r="N2058" s="20"/>
      <c r="O2058" s="81"/>
      <c r="P2058" s="55"/>
      <c r="Q2058" s="55"/>
      <c r="R2058" s="14"/>
      <c r="S2058" s="14"/>
    </row>
    <row r="2059" spans="2:19" ht="12.75" hidden="1" customHeight="1" x14ac:dyDescent="0.25">
      <c r="B2059" s="16">
        <v>44174.125</v>
      </c>
      <c r="C2059" s="50" t="s">
        <v>1958</v>
      </c>
      <c r="D2059" s="34"/>
      <c r="E2059" s="37">
        <v>207648570</v>
      </c>
      <c r="F2059" s="37"/>
      <c r="G2059" s="37">
        <f t="shared" si="375"/>
        <v>207648570</v>
      </c>
      <c r="H2059" s="64"/>
      <c r="I2059" s="64"/>
      <c r="J2059" s="64"/>
      <c r="K2059" s="18">
        <f t="shared" si="376"/>
        <v>207648570</v>
      </c>
      <c r="L2059" s="19">
        <f t="shared" si="377"/>
        <v>1927670892</v>
      </c>
      <c r="M2059" s="20"/>
      <c r="N2059" s="20"/>
      <c r="O2059" s="81"/>
      <c r="P2059" s="55"/>
      <c r="Q2059" s="55"/>
      <c r="R2059" s="14"/>
      <c r="S2059" s="14"/>
    </row>
    <row r="2060" spans="2:19" ht="12.75" hidden="1" customHeight="1" x14ac:dyDescent="0.25">
      <c r="B2060" s="16">
        <v>44195.125</v>
      </c>
      <c r="C2060" s="50" t="s">
        <v>1959</v>
      </c>
      <c r="D2060" s="34"/>
      <c r="E2060" s="37">
        <v>207648570</v>
      </c>
      <c r="F2060" s="37"/>
      <c r="G2060" s="37">
        <f t="shared" si="375"/>
        <v>207648570</v>
      </c>
      <c r="H2060" s="64"/>
      <c r="I2060" s="64"/>
      <c r="J2060" s="64"/>
      <c r="K2060" s="18">
        <f t="shared" si="376"/>
        <v>207648570</v>
      </c>
      <c r="L2060" s="19">
        <f t="shared" si="377"/>
        <v>1720022322</v>
      </c>
      <c r="M2060" s="20"/>
      <c r="N2060" s="20"/>
      <c r="O2060" s="81"/>
      <c r="P2060" s="55"/>
      <c r="Q2060" s="55"/>
      <c r="R2060" s="14"/>
      <c r="S2060" s="14"/>
    </row>
    <row r="2061" spans="2:19" ht="12.75" hidden="1" customHeight="1" x14ac:dyDescent="0.25">
      <c r="B2061" s="16">
        <v>44239</v>
      </c>
      <c r="C2061" s="50" t="s">
        <v>1960</v>
      </c>
      <c r="D2061" s="34"/>
      <c r="E2061" s="37">
        <v>207648570</v>
      </c>
      <c r="F2061" s="37"/>
      <c r="G2061" s="37">
        <f t="shared" si="375"/>
        <v>207648570</v>
      </c>
      <c r="H2061" s="64"/>
      <c r="I2061" s="64"/>
      <c r="J2061" s="64"/>
      <c r="K2061" s="18">
        <f t="shared" si="376"/>
        <v>207648570</v>
      </c>
      <c r="L2061" s="19">
        <f t="shared" si="377"/>
        <v>1512373752</v>
      </c>
      <c r="M2061" s="20"/>
      <c r="N2061" s="20"/>
      <c r="O2061" s="81"/>
      <c r="P2061" s="55"/>
      <c r="Q2061" s="55"/>
      <c r="R2061" s="14"/>
      <c r="S2061" s="14"/>
    </row>
    <row r="2062" spans="2:19" ht="12.75" hidden="1" customHeight="1" x14ac:dyDescent="0.25">
      <c r="B2062" s="16">
        <v>44334.083333333336</v>
      </c>
      <c r="C2062" s="50" t="s">
        <v>1961</v>
      </c>
      <c r="D2062" s="34"/>
      <c r="E2062" s="37">
        <v>207648570</v>
      </c>
      <c r="F2062" s="37"/>
      <c r="G2062" s="37">
        <f t="shared" si="375"/>
        <v>207648570</v>
      </c>
      <c r="H2062" s="64"/>
      <c r="I2062" s="64"/>
      <c r="J2062" s="64"/>
      <c r="K2062" s="18">
        <f t="shared" si="376"/>
        <v>207648570</v>
      </c>
      <c r="L2062" s="19">
        <f t="shared" si="377"/>
        <v>1304725182</v>
      </c>
      <c r="M2062" s="20">
        <v>207648570</v>
      </c>
      <c r="N2062" s="20">
        <f>+G2062-M2062</f>
        <v>0</v>
      </c>
      <c r="O2062" s="81"/>
      <c r="P2062" s="55"/>
      <c r="Q2062" s="55"/>
      <c r="R2062" s="14"/>
      <c r="S2062" s="14"/>
    </row>
    <row r="2063" spans="2:19" ht="12.75" hidden="1" customHeight="1" x14ac:dyDescent="0.25">
      <c r="B2063" s="16">
        <v>44330.083333333336</v>
      </c>
      <c r="C2063" s="50" t="s">
        <v>1962</v>
      </c>
      <c r="D2063" s="34"/>
      <c r="E2063" s="37">
        <v>207648570</v>
      </c>
      <c r="F2063" s="37"/>
      <c r="G2063" s="37">
        <f t="shared" si="375"/>
        <v>207648570</v>
      </c>
      <c r="H2063" s="64"/>
      <c r="I2063" s="64"/>
      <c r="J2063" s="64"/>
      <c r="K2063" s="18">
        <f t="shared" si="376"/>
        <v>207648570</v>
      </c>
      <c r="L2063" s="19">
        <f t="shared" si="377"/>
        <v>1097076612</v>
      </c>
      <c r="M2063" s="20">
        <v>207648570</v>
      </c>
      <c r="N2063" s="20">
        <f>+G2063-M2063</f>
        <v>0</v>
      </c>
      <c r="O2063" s="81"/>
      <c r="P2063" s="55"/>
      <c r="Q2063" s="55"/>
      <c r="R2063" s="14"/>
      <c r="S2063" s="14"/>
    </row>
    <row r="2064" spans="2:19" ht="12.75" hidden="1" customHeight="1" x14ac:dyDescent="0.25">
      <c r="B2064" s="16">
        <v>44351.083333333336</v>
      </c>
      <c r="C2064" s="50" t="s">
        <v>1963</v>
      </c>
      <c r="D2064" s="34"/>
      <c r="E2064" s="37">
        <v>207648570</v>
      </c>
      <c r="F2064" s="37"/>
      <c r="G2064" s="37">
        <f t="shared" si="375"/>
        <v>207648570</v>
      </c>
      <c r="H2064" s="64"/>
      <c r="I2064" s="64"/>
      <c r="J2064" s="64"/>
      <c r="K2064" s="18">
        <f t="shared" si="376"/>
        <v>207648570</v>
      </c>
      <c r="L2064" s="19">
        <f t="shared" si="377"/>
        <v>889428042</v>
      </c>
      <c r="M2064" s="20"/>
      <c r="N2064" s="20"/>
      <c r="O2064" s="81"/>
      <c r="P2064" s="55"/>
      <c r="Q2064" s="55"/>
      <c r="R2064" s="14"/>
      <c r="S2064" s="14"/>
    </row>
    <row r="2065" spans="2:19" ht="12.75" hidden="1" customHeight="1" x14ac:dyDescent="0.25">
      <c r="B2065" s="16">
        <v>44376</v>
      </c>
      <c r="C2065" s="50" t="s">
        <v>1964</v>
      </c>
      <c r="D2065" s="34"/>
      <c r="E2065" s="37">
        <v>207648570</v>
      </c>
      <c r="F2065" s="37"/>
      <c r="G2065" s="37">
        <f t="shared" si="375"/>
        <v>207648570</v>
      </c>
      <c r="H2065" s="64"/>
      <c r="I2065" s="64"/>
      <c r="J2065" s="64"/>
      <c r="K2065" s="18">
        <f t="shared" si="376"/>
        <v>207648570</v>
      </c>
      <c r="L2065" s="19">
        <f t="shared" si="377"/>
        <v>681779472</v>
      </c>
      <c r="M2065" s="20"/>
      <c r="N2065" s="20"/>
      <c r="O2065" s="81"/>
      <c r="P2065" s="55"/>
      <c r="Q2065" s="55"/>
      <c r="R2065" s="14"/>
      <c r="S2065" s="14"/>
    </row>
    <row r="2066" spans="2:19" ht="12.75" hidden="1" customHeight="1" x14ac:dyDescent="0.25">
      <c r="B2066" s="16">
        <v>44403.083333333336</v>
      </c>
      <c r="C2066" s="50" t="s">
        <v>1965</v>
      </c>
      <c r="D2066" s="34"/>
      <c r="E2066" s="37">
        <v>207648570</v>
      </c>
      <c r="F2066" s="37"/>
      <c r="G2066" s="37">
        <f t="shared" si="375"/>
        <v>207648570</v>
      </c>
      <c r="H2066" s="64"/>
      <c r="I2066" s="64"/>
      <c r="J2066" s="64"/>
      <c r="K2066" s="18">
        <f t="shared" si="376"/>
        <v>207648570</v>
      </c>
      <c r="L2066" s="19">
        <f t="shared" si="377"/>
        <v>474130902</v>
      </c>
      <c r="M2066" s="20"/>
      <c r="N2066" s="20"/>
      <c r="O2066" s="81"/>
      <c r="P2066" s="55"/>
      <c r="Q2066" s="55"/>
      <c r="R2066" s="14"/>
      <c r="S2066" s="14"/>
    </row>
    <row r="2067" spans="2:19" ht="12.75" hidden="1" customHeight="1" x14ac:dyDescent="0.25">
      <c r="B2067" s="16">
        <v>44442.083333333336</v>
      </c>
      <c r="C2067" s="50" t="s">
        <v>1966</v>
      </c>
      <c r="D2067" s="34"/>
      <c r="E2067" s="37">
        <v>207648570</v>
      </c>
      <c r="F2067" s="37"/>
      <c r="G2067" s="37">
        <f t="shared" si="375"/>
        <v>207648570</v>
      </c>
      <c r="H2067" s="64"/>
      <c r="I2067" s="64"/>
      <c r="J2067" s="64"/>
      <c r="K2067" s="18">
        <f t="shared" si="376"/>
        <v>207648570</v>
      </c>
      <c r="L2067" s="19">
        <f t="shared" si="377"/>
        <v>266482332</v>
      </c>
      <c r="M2067" s="20"/>
      <c r="N2067" s="20"/>
      <c r="O2067" s="81"/>
      <c r="P2067" s="55"/>
      <c r="Q2067" s="55"/>
      <c r="R2067" s="14"/>
      <c r="S2067" s="14"/>
    </row>
    <row r="2068" spans="2:19" ht="12.75" hidden="1" customHeight="1" x14ac:dyDescent="0.25">
      <c r="B2068" s="16">
        <v>44537.125</v>
      </c>
      <c r="C2068" s="50" t="s">
        <v>1967</v>
      </c>
      <c r="D2068" s="34"/>
      <c r="E2068" s="37">
        <v>207648570</v>
      </c>
      <c r="F2068" s="37"/>
      <c r="G2068" s="37">
        <f t="shared" si="375"/>
        <v>207648570</v>
      </c>
      <c r="H2068" s="64"/>
      <c r="I2068" s="64"/>
      <c r="J2068" s="64"/>
      <c r="K2068" s="18">
        <f t="shared" si="376"/>
        <v>207648570</v>
      </c>
      <c r="L2068" s="19">
        <f t="shared" si="377"/>
        <v>58833762</v>
      </c>
      <c r="M2068" s="20"/>
      <c r="N2068" s="20"/>
      <c r="O2068" s="81"/>
      <c r="P2068" s="55"/>
      <c r="Q2068" s="55"/>
      <c r="R2068" s="14"/>
      <c r="S2068" s="14"/>
    </row>
    <row r="2069" spans="2:19" ht="15" hidden="1" x14ac:dyDescent="0.25">
      <c r="B2069" s="9" t="s">
        <v>1968</v>
      </c>
      <c r="C2069" s="10"/>
      <c r="D2069" s="11">
        <v>37440000</v>
      </c>
      <c r="E2069" s="11">
        <f>+D2069</f>
        <v>37440000</v>
      </c>
      <c r="F2069" s="11"/>
      <c r="G2069" s="11"/>
      <c r="H2069" s="11"/>
      <c r="I2069" s="11"/>
      <c r="J2069" s="11"/>
      <c r="K2069" s="11"/>
      <c r="L2069" s="11">
        <f>+D2069</f>
        <v>37440000</v>
      </c>
      <c r="M2069" s="12"/>
      <c r="N2069" s="12"/>
      <c r="P2069" s="55"/>
      <c r="Q2069" s="55"/>
      <c r="R2069" s="14"/>
      <c r="S2069" s="14"/>
    </row>
    <row r="2070" spans="2:19" ht="12.75" hidden="1" customHeight="1" x14ac:dyDescent="0.25">
      <c r="B2070" s="16">
        <v>43867.125</v>
      </c>
      <c r="C2070" s="50" t="s">
        <v>1969</v>
      </c>
      <c r="D2070" s="34"/>
      <c r="E2070" s="37">
        <v>6240000</v>
      </c>
      <c r="F2070" s="37"/>
      <c r="G2070" s="37">
        <f t="shared" ref="G2070:G2075" si="378">+E2070</f>
        <v>6240000</v>
      </c>
      <c r="H2070" s="64"/>
      <c r="I2070" s="64">
        <v>66615.89</v>
      </c>
      <c r="J2070" s="64">
        <v>54223.51</v>
      </c>
      <c r="K2070" s="18">
        <f t="shared" ref="K2070:K2075" si="379">+G2070-H2070-I2070-J2070</f>
        <v>6119160.6000000006</v>
      </c>
      <c r="L2070" s="19">
        <f t="shared" ref="L2070:L2075" si="380">+L2069-G2070</f>
        <v>31200000</v>
      </c>
      <c r="M2070" s="20"/>
      <c r="N2070" s="20"/>
      <c r="O2070" s="81">
        <f>+L2075-'[1]ANEXO 7 - PPTO VIG 2020'!T104</f>
        <v>0</v>
      </c>
      <c r="P2070" s="55">
        <v>39759427</v>
      </c>
      <c r="Q2070" s="97">
        <v>43800</v>
      </c>
      <c r="R2070" s="14">
        <v>274900</v>
      </c>
      <c r="S2070" s="14">
        <v>351900</v>
      </c>
    </row>
    <row r="2071" spans="2:19" ht="12.75" hidden="1" customHeight="1" x14ac:dyDescent="0.25">
      <c r="B2071" s="16">
        <v>43893.125</v>
      </c>
      <c r="C2071" s="50" t="s">
        <v>1970</v>
      </c>
      <c r="D2071" s="34"/>
      <c r="E2071" s="37">
        <v>6240000</v>
      </c>
      <c r="F2071" s="37"/>
      <c r="G2071" s="37">
        <f t="shared" si="378"/>
        <v>6240000</v>
      </c>
      <c r="H2071" s="64"/>
      <c r="I2071" s="64">
        <v>54338.1</v>
      </c>
      <c r="J2071" s="64">
        <v>53406.66</v>
      </c>
      <c r="K2071" s="18">
        <f t="shared" si="379"/>
        <v>6132255.2400000002</v>
      </c>
      <c r="L2071" s="19">
        <f t="shared" si="380"/>
        <v>24960000</v>
      </c>
      <c r="M2071" s="20"/>
      <c r="N2071" s="20"/>
      <c r="O2071" s="81"/>
      <c r="P2071" s="55">
        <v>40348366</v>
      </c>
      <c r="Q2071" s="97">
        <v>43831</v>
      </c>
      <c r="R2071" s="14">
        <v>312000</v>
      </c>
      <c r="S2071" s="14">
        <v>399400</v>
      </c>
    </row>
    <row r="2072" spans="2:19" ht="12.75" hidden="1" customHeight="1" x14ac:dyDescent="0.25">
      <c r="B2072" s="16">
        <v>43927.083333333336</v>
      </c>
      <c r="C2072" s="50" t="s">
        <v>1971</v>
      </c>
      <c r="D2072" s="34"/>
      <c r="E2072" s="37">
        <v>6240000</v>
      </c>
      <c r="F2072" s="37"/>
      <c r="G2072" s="37">
        <f t="shared" si="378"/>
        <v>6240000</v>
      </c>
      <c r="H2072" s="64"/>
      <c r="I2072" s="64">
        <v>54338.1</v>
      </c>
      <c r="J2072" s="64">
        <v>53406.66</v>
      </c>
      <c r="K2072" s="18">
        <f t="shared" si="379"/>
        <v>6132255.2400000002</v>
      </c>
      <c r="L2072" s="19">
        <f t="shared" si="380"/>
        <v>18720000</v>
      </c>
      <c r="M2072" s="20"/>
      <c r="N2072" s="20"/>
      <c r="O2072" s="81"/>
      <c r="P2072" s="55">
        <v>40642918</v>
      </c>
      <c r="Q2072" s="97">
        <v>43862</v>
      </c>
      <c r="R2072" s="14">
        <v>312000</v>
      </c>
      <c r="S2072" s="14">
        <v>399400</v>
      </c>
    </row>
    <row r="2073" spans="2:19" ht="12.75" hidden="1" customHeight="1" x14ac:dyDescent="0.25">
      <c r="B2073" s="16">
        <v>43958.083333333336</v>
      </c>
      <c r="C2073" s="50" t="s">
        <v>1972</v>
      </c>
      <c r="D2073" s="34"/>
      <c r="E2073" s="37">
        <v>6240000</v>
      </c>
      <c r="F2073" s="37"/>
      <c r="G2073" s="37">
        <f t="shared" si="378"/>
        <v>6240000</v>
      </c>
      <c r="H2073" s="64"/>
      <c r="I2073" s="64">
        <v>54338.1</v>
      </c>
      <c r="J2073" s="64">
        <v>53406.66</v>
      </c>
      <c r="K2073" s="18">
        <f t="shared" si="379"/>
        <v>6132255.2400000002</v>
      </c>
      <c r="L2073" s="19">
        <f t="shared" si="380"/>
        <v>12480000</v>
      </c>
      <c r="M2073" s="20"/>
      <c r="N2073" s="20"/>
      <c r="O2073" s="81"/>
      <c r="P2073" s="55">
        <v>41308118</v>
      </c>
      <c r="Q2073" s="97">
        <v>43891</v>
      </c>
      <c r="R2073" s="14">
        <v>312000</v>
      </c>
      <c r="S2073" s="14">
        <v>399400</v>
      </c>
    </row>
    <row r="2074" spans="2:19" ht="12.75" hidden="1" customHeight="1" x14ac:dyDescent="0.25">
      <c r="B2074" s="16">
        <v>43986.083333333336</v>
      </c>
      <c r="C2074" s="50" t="s">
        <v>1973</v>
      </c>
      <c r="D2074" s="34"/>
      <c r="E2074" s="37">
        <v>6240000</v>
      </c>
      <c r="F2074" s="37"/>
      <c r="G2074" s="37">
        <f t="shared" si="378"/>
        <v>6240000</v>
      </c>
      <c r="H2074" s="64"/>
      <c r="I2074" s="64">
        <v>100576.49</v>
      </c>
      <c r="J2074" s="64">
        <v>56541.14</v>
      </c>
      <c r="K2074" s="18">
        <f t="shared" si="379"/>
        <v>6082882.3700000001</v>
      </c>
      <c r="L2074" s="19">
        <f t="shared" si="380"/>
        <v>6240000</v>
      </c>
      <c r="M2074" s="20"/>
      <c r="N2074" s="20"/>
      <c r="O2074" s="81"/>
      <c r="P2074" s="55">
        <v>42786952</v>
      </c>
      <c r="Q2074" s="97">
        <v>43922</v>
      </c>
      <c r="R2074" s="14">
        <v>312000</v>
      </c>
      <c r="S2074" s="14">
        <v>74900</v>
      </c>
    </row>
    <row r="2075" spans="2:19" ht="12.75" hidden="1" customHeight="1" x14ac:dyDescent="0.25">
      <c r="B2075" s="16">
        <v>44013.083333333336</v>
      </c>
      <c r="C2075" s="50" t="s">
        <v>1974</v>
      </c>
      <c r="D2075" s="34"/>
      <c r="E2075" s="37">
        <v>6240000</v>
      </c>
      <c r="F2075" s="37"/>
      <c r="G2075" s="37">
        <f t="shared" si="378"/>
        <v>6240000</v>
      </c>
      <c r="H2075" s="64"/>
      <c r="I2075" s="64">
        <v>54338.1</v>
      </c>
      <c r="J2075" s="64">
        <v>53406.66</v>
      </c>
      <c r="K2075" s="18">
        <f t="shared" si="379"/>
        <v>6132255.2400000002</v>
      </c>
      <c r="L2075" s="19">
        <f t="shared" si="380"/>
        <v>0</v>
      </c>
      <c r="M2075" s="20"/>
      <c r="N2075" s="20"/>
      <c r="O2075" s="81"/>
      <c r="P2075" s="55">
        <v>42630161</v>
      </c>
      <c r="Q2075" s="97">
        <v>43952</v>
      </c>
      <c r="R2075" s="14">
        <v>312000</v>
      </c>
      <c r="S2075" s="14">
        <v>74900</v>
      </c>
    </row>
    <row r="2076" spans="2:19" ht="12.75" hidden="1" customHeight="1" x14ac:dyDescent="0.25">
      <c r="B2076" s="16"/>
      <c r="C2076" s="50"/>
      <c r="D2076" s="34"/>
      <c r="E2076" s="37"/>
      <c r="F2076" s="37"/>
      <c r="G2076" s="37"/>
      <c r="H2076" s="64"/>
      <c r="I2076" s="64"/>
      <c r="J2076" s="64"/>
      <c r="K2076" s="18"/>
      <c r="L2076" s="19"/>
      <c r="M2076" s="20"/>
      <c r="N2076" s="20"/>
      <c r="O2076" s="81"/>
      <c r="P2076" s="55">
        <v>43467532</v>
      </c>
      <c r="Q2076" s="97">
        <v>43983</v>
      </c>
      <c r="R2076" s="14">
        <v>312000</v>
      </c>
      <c r="S2076" s="14">
        <v>399400</v>
      </c>
    </row>
    <row r="2077" spans="2:19" ht="15" hidden="1" x14ac:dyDescent="0.25">
      <c r="B2077" s="9" t="s">
        <v>1975</v>
      </c>
      <c r="C2077" s="10"/>
      <c r="D2077" s="11">
        <v>102000000</v>
      </c>
      <c r="E2077" s="11">
        <f>+D2077</f>
        <v>102000000</v>
      </c>
      <c r="F2077" s="11"/>
      <c r="G2077" s="11"/>
      <c r="H2077" s="11"/>
      <c r="I2077" s="11"/>
      <c r="J2077" s="11"/>
      <c r="K2077" s="11"/>
      <c r="L2077" s="11">
        <f>+D2077</f>
        <v>102000000</v>
      </c>
      <c r="M2077" s="12"/>
      <c r="N2077" s="12"/>
      <c r="P2077" s="55"/>
      <c r="Q2077" s="55"/>
      <c r="R2077" s="14"/>
      <c r="S2077" s="14"/>
    </row>
    <row r="2078" spans="2:19" ht="12.75" hidden="1" customHeight="1" x14ac:dyDescent="0.25">
      <c r="B2078" s="16">
        <v>43867.125</v>
      </c>
      <c r="C2078" s="50" t="s">
        <v>1976</v>
      </c>
      <c r="D2078" s="34"/>
      <c r="E2078" s="37">
        <v>7083333</v>
      </c>
      <c r="F2078" s="37"/>
      <c r="G2078" s="37">
        <f>+E2078</f>
        <v>7083333</v>
      </c>
      <c r="H2078" s="64"/>
      <c r="I2078" s="64">
        <v>148197.12</v>
      </c>
      <c r="J2078" s="64">
        <v>60624.55</v>
      </c>
      <c r="K2078" s="18">
        <f>+G2078-H2078-I2078-J2078</f>
        <v>6874511.3300000001</v>
      </c>
      <c r="L2078" s="19">
        <f>+L2077-G2078</f>
        <v>94916667</v>
      </c>
      <c r="M2078" s="20"/>
      <c r="N2078" s="20"/>
      <c r="O2078" s="81">
        <f>+L2083-'[1]ANEXO 7 - PPTO VIG 2020'!T99</f>
        <v>0</v>
      </c>
      <c r="P2078" s="55">
        <v>9400613541</v>
      </c>
      <c r="Q2078" s="97">
        <v>43800</v>
      </c>
      <c r="R2078" s="14">
        <v>416000</v>
      </c>
      <c r="S2078" s="14">
        <v>575900</v>
      </c>
    </row>
    <row r="2079" spans="2:19" ht="12.75" hidden="1" customHeight="1" x14ac:dyDescent="0.25">
      <c r="B2079" s="16">
        <v>43895.125</v>
      </c>
      <c r="C2079" s="50" t="s">
        <v>1977</v>
      </c>
      <c r="D2079" s="34"/>
      <c r="E2079" s="37">
        <v>8500000</v>
      </c>
      <c r="F2079" s="37"/>
      <c r="G2079" s="37">
        <f>+E2079</f>
        <v>8500000</v>
      </c>
      <c r="H2079" s="64"/>
      <c r="I2079" s="64">
        <v>306799.67</v>
      </c>
      <c r="J2079" s="64">
        <v>72749.460000000006</v>
      </c>
      <c r="K2079" s="18">
        <f>+G2079-H2079-I2079-J2079</f>
        <v>8120450.8700000001</v>
      </c>
      <c r="L2079" s="19">
        <f>+L2078-G2079</f>
        <v>86416667</v>
      </c>
      <c r="M2079" s="20"/>
      <c r="N2079" s="20"/>
      <c r="O2079" s="81"/>
      <c r="P2079" s="55">
        <v>9402309921</v>
      </c>
      <c r="Q2079" s="97">
        <v>43831</v>
      </c>
      <c r="R2079" s="14">
        <v>425000</v>
      </c>
      <c r="S2079" s="14">
        <v>586000</v>
      </c>
    </row>
    <row r="2080" spans="2:19" ht="12.75" hidden="1" customHeight="1" x14ac:dyDescent="0.25">
      <c r="B2080" s="16">
        <v>43929.083333333336</v>
      </c>
      <c r="C2080" s="50" t="s">
        <v>1978</v>
      </c>
      <c r="D2080" s="34"/>
      <c r="E2080" s="37">
        <v>8500000</v>
      </c>
      <c r="F2080" s="37"/>
      <c r="G2080" s="37">
        <f>+E2080</f>
        <v>8500000</v>
      </c>
      <c r="H2080" s="64"/>
      <c r="I2080" s="64">
        <v>306799.67</v>
      </c>
      <c r="J2080" s="64">
        <v>72749.460000000006</v>
      </c>
      <c r="K2080" s="18">
        <f>+G2080-H2080-I2080-J2080</f>
        <v>8120450.8700000001</v>
      </c>
      <c r="L2080" s="19">
        <f>+L2079-G2080</f>
        <v>77916667</v>
      </c>
      <c r="M2080" s="20"/>
      <c r="N2080" s="20"/>
      <c r="O2080" s="81"/>
      <c r="P2080" s="55">
        <v>9403957916</v>
      </c>
      <c r="Q2080" s="97">
        <v>43862</v>
      </c>
      <c r="R2080" s="14">
        <v>425000</v>
      </c>
      <c r="S2080" s="14">
        <v>586800</v>
      </c>
    </row>
    <row r="2081" spans="2:19" ht="12.75" hidden="1" customHeight="1" x14ac:dyDescent="0.25">
      <c r="B2081" s="16">
        <v>43956.083333333336</v>
      </c>
      <c r="C2081" s="50" t="s">
        <v>1979</v>
      </c>
      <c r="D2081" s="34"/>
      <c r="E2081" s="37">
        <v>8500000</v>
      </c>
      <c r="F2081" s="37"/>
      <c r="G2081" s="37">
        <f>+E2081</f>
        <v>8500000</v>
      </c>
      <c r="H2081" s="64"/>
      <c r="I2081" s="64">
        <v>306799.67</v>
      </c>
      <c r="J2081" s="64">
        <v>72749.460000000006</v>
      </c>
      <c r="K2081" s="18">
        <f>+G2081-H2081-I2081-J2081</f>
        <v>8120450.8700000001</v>
      </c>
      <c r="L2081" s="19">
        <f>+L2080-G2081</f>
        <v>69416667</v>
      </c>
      <c r="M2081" s="20"/>
      <c r="N2081" s="20"/>
      <c r="O2081" s="81"/>
      <c r="P2081" s="55"/>
      <c r="Q2081" s="97"/>
      <c r="R2081" s="14"/>
      <c r="S2081" s="14"/>
    </row>
    <row r="2082" spans="2:19" ht="12.75" hidden="1" customHeight="1" x14ac:dyDescent="0.25">
      <c r="B2082" s="16">
        <v>43977.083333333336</v>
      </c>
      <c r="C2082" s="50" t="s">
        <v>1980</v>
      </c>
      <c r="D2082" s="34"/>
      <c r="E2082" s="37">
        <v>5100000</v>
      </c>
      <c r="F2082" s="37"/>
      <c r="G2082" s="37">
        <f>+E2082</f>
        <v>5100000</v>
      </c>
      <c r="H2082" s="64"/>
      <c r="I2082" s="64"/>
      <c r="J2082" s="64">
        <v>46211.51</v>
      </c>
      <c r="K2082" s="18">
        <f>+G2082-H2082-I2082-J2082</f>
        <v>5053788.49</v>
      </c>
      <c r="L2082" s="19">
        <f>+L2081-G2082</f>
        <v>64316667</v>
      </c>
      <c r="M2082" s="20"/>
      <c r="N2082" s="20"/>
      <c r="O2082" s="81"/>
      <c r="P2082" s="55"/>
      <c r="Q2082" s="97"/>
      <c r="R2082" s="14"/>
      <c r="S2082" s="14"/>
    </row>
    <row r="2083" spans="2:19" ht="12.75" hidden="1" customHeight="1" x14ac:dyDescent="0.25">
      <c r="B2083" s="16"/>
      <c r="C2083" s="50" t="s">
        <v>654</v>
      </c>
      <c r="D2083" s="34"/>
      <c r="E2083" s="37">
        <v>64316667</v>
      </c>
      <c r="F2083" s="37"/>
      <c r="G2083" s="37">
        <v>64316667</v>
      </c>
      <c r="H2083" s="64"/>
      <c r="I2083" s="64"/>
      <c r="J2083" s="64"/>
      <c r="K2083" s="18"/>
      <c r="L2083" s="19">
        <f>+L2082-E2083</f>
        <v>0</v>
      </c>
      <c r="M2083" s="20"/>
      <c r="N2083" s="20"/>
      <c r="O2083" s="81"/>
      <c r="P2083" s="55"/>
      <c r="Q2083" s="97"/>
      <c r="R2083" s="14"/>
      <c r="S2083" s="14"/>
    </row>
    <row r="2084" spans="2:19" ht="15" hidden="1" x14ac:dyDescent="0.25">
      <c r="B2084" s="9" t="s">
        <v>1981</v>
      </c>
      <c r="C2084" s="10"/>
      <c r="D2084" s="11">
        <v>222000000</v>
      </c>
      <c r="E2084" s="11">
        <f>+D2084</f>
        <v>222000000</v>
      </c>
      <c r="F2084" s="11"/>
      <c r="G2084" s="11"/>
      <c r="H2084" s="11"/>
      <c r="I2084" s="11"/>
      <c r="J2084" s="11"/>
      <c r="K2084" s="11"/>
      <c r="L2084" s="11">
        <f>+D2084</f>
        <v>222000000</v>
      </c>
      <c r="M2084" s="12"/>
      <c r="N2084" s="12"/>
      <c r="P2084" s="55"/>
      <c r="Q2084" s="55"/>
      <c r="R2084" s="14"/>
      <c r="S2084" s="14"/>
    </row>
    <row r="2085" spans="2:19" ht="12.75" hidden="1" customHeight="1" x14ac:dyDescent="0.25">
      <c r="B2085" s="16">
        <v>43867.125</v>
      </c>
      <c r="C2085" s="50" t="s">
        <v>1982</v>
      </c>
      <c r="D2085" s="34"/>
      <c r="E2085" s="37">
        <v>12800000</v>
      </c>
      <c r="F2085" s="37"/>
      <c r="G2085" s="37">
        <f>+E2085</f>
        <v>12800000</v>
      </c>
      <c r="H2085" s="64">
        <v>306554.55</v>
      </c>
      <c r="I2085" s="64">
        <v>893517.25</v>
      </c>
      <c r="J2085" s="64">
        <v>103905.89</v>
      </c>
      <c r="K2085" s="18">
        <f>+G2085-H2085-I2085-J2085</f>
        <v>11496022.309999999</v>
      </c>
      <c r="L2085" s="19">
        <f>+L2084-G2085</f>
        <v>209200000</v>
      </c>
      <c r="M2085" s="20"/>
      <c r="N2085" s="20"/>
      <c r="O2085" s="81">
        <f>+L2089-'[1]ANEXO 7 - PPTO VIG 2020'!T13</f>
        <v>0</v>
      </c>
      <c r="P2085" s="55">
        <v>9400784069</v>
      </c>
      <c r="Q2085" s="97">
        <v>43800</v>
      </c>
      <c r="R2085" s="14">
        <v>630300</v>
      </c>
      <c r="S2085" s="14">
        <v>857400</v>
      </c>
    </row>
    <row r="2086" spans="2:19" ht="12.75" hidden="1" customHeight="1" x14ac:dyDescent="0.25">
      <c r="B2086" s="16">
        <v>43868.125</v>
      </c>
      <c r="C2086" s="50" t="s">
        <v>1983</v>
      </c>
      <c r="D2086" s="34"/>
      <c r="E2086" s="37">
        <v>1172472</v>
      </c>
      <c r="F2086" s="37"/>
      <c r="G2086" s="37">
        <f>+E2086</f>
        <v>1172472</v>
      </c>
      <c r="H2086" s="64">
        <v>19767.45</v>
      </c>
      <c r="I2086" s="64">
        <v>145654.96</v>
      </c>
      <c r="J2086" s="64">
        <v>1387.19</v>
      </c>
      <c r="K2086" s="18">
        <f>+G2086-H2086-I2086-J2086</f>
        <v>1005662.4000000001</v>
      </c>
      <c r="L2086" s="19">
        <f>+L2085-G2086</f>
        <v>208027528</v>
      </c>
      <c r="M2086" s="20"/>
      <c r="N2086" s="20"/>
      <c r="O2086" s="81"/>
      <c r="P2086" s="244" t="s">
        <v>1984</v>
      </c>
      <c r="Q2086" s="245"/>
      <c r="R2086" s="245"/>
      <c r="S2086" s="246"/>
    </row>
    <row r="2087" spans="2:19" ht="12.75" hidden="1" customHeight="1" x14ac:dyDescent="0.25">
      <c r="B2087" s="16">
        <v>43896.125</v>
      </c>
      <c r="C2087" s="50" t="s">
        <v>1985</v>
      </c>
      <c r="D2087" s="34"/>
      <c r="E2087" s="37">
        <v>12800000</v>
      </c>
      <c r="F2087" s="37"/>
      <c r="G2087" s="37">
        <f>+E2087</f>
        <v>12800000</v>
      </c>
      <c r="H2087" s="64">
        <v>306554.55</v>
      </c>
      <c r="I2087" s="64">
        <v>630467.37</v>
      </c>
      <c r="J2087" s="64">
        <v>92060.62</v>
      </c>
      <c r="K2087" s="18">
        <f>+G2087-H2087-I2087-J2087</f>
        <v>11770917.460000001</v>
      </c>
      <c r="L2087" s="19">
        <f>+L2086-G2087</f>
        <v>195227528</v>
      </c>
      <c r="M2087" s="20"/>
      <c r="N2087" s="20"/>
      <c r="O2087" s="81"/>
      <c r="P2087" s="55">
        <v>9402729154</v>
      </c>
      <c r="Q2087" s="97">
        <v>43831</v>
      </c>
      <c r="R2087" s="14">
        <v>800600</v>
      </c>
      <c r="S2087" s="14">
        <v>1089000</v>
      </c>
    </row>
    <row r="2088" spans="2:19" ht="12.75" hidden="1" customHeight="1" x14ac:dyDescent="0.25">
      <c r="B2088" s="16">
        <v>43899.083333333336</v>
      </c>
      <c r="C2088" s="50" t="s">
        <v>1986</v>
      </c>
      <c r="D2088" s="34"/>
      <c r="E2088" s="37">
        <v>3143560.19</v>
      </c>
      <c r="F2088" s="37"/>
      <c r="G2088" s="37">
        <f>+E2088</f>
        <v>3143560.19</v>
      </c>
      <c r="H2088" s="64">
        <v>32945.699999999997</v>
      </c>
      <c r="I2088" s="64">
        <v>242758.31</v>
      </c>
      <c r="J2088" s="64">
        <v>9247.94</v>
      </c>
      <c r="K2088" s="18">
        <f>+G2088-H2088-I2088-J2088</f>
        <v>2858608.2399999998</v>
      </c>
      <c r="L2088" s="19">
        <f>+L2087-G2088</f>
        <v>192083967.81</v>
      </c>
      <c r="M2088" s="20"/>
      <c r="N2088" s="20"/>
      <c r="O2088" s="81"/>
      <c r="P2088" s="244" t="s">
        <v>1984</v>
      </c>
      <c r="Q2088" s="245"/>
      <c r="R2088" s="245"/>
      <c r="S2088" s="246"/>
    </row>
    <row r="2089" spans="2:19" ht="12.75" hidden="1" customHeight="1" x14ac:dyDescent="0.25">
      <c r="B2089" s="16"/>
      <c r="C2089" s="50" t="s">
        <v>654</v>
      </c>
      <c r="D2089" s="34"/>
      <c r="E2089" s="37">
        <v>192083967.81</v>
      </c>
      <c r="F2089" s="37"/>
      <c r="G2089" s="37">
        <f>+E2089</f>
        <v>192083967.81</v>
      </c>
      <c r="H2089" s="64"/>
      <c r="I2089" s="64"/>
      <c r="J2089" s="64"/>
      <c r="K2089" s="18">
        <f>+E2089-H2089-I2089-J2089</f>
        <v>192083967.81</v>
      </c>
      <c r="L2089" s="19">
        <f>+L2088-E2089</f>
        <v>0</v>
      </c>
      <c r="M2089" s="20"/>
      <c r="N2089" s="20"/>
      <c r="O2089" s="81"/>
      <c r="P2089" s="55"/>
      <c r="Q2089" s="55"/>
      <c r="R2089" s="14"/>
      <c r="S2089" s="14"/>
    </row>
    <row r="2090" spans="2:19" ht="15" hidden="1" x14ac:dyDescent="0.25">
      <c r="B2090" s="9" t="s">
        <v>1987</v>
      </c>
      <c r="C2090" s="10"/>
      <c r="D2090" s="11">
        <v>67630000</v>
      </c>
      <c r="E2090" s="11">
        <f>+D2090</f>
        <v>67630000</v>
      </c>
      <c r="F2090" s="11"/>
      <c r="G2090" s="11"/>
      <c r="H2090" s="11"/>
      <c r="I2090" s="11"/>
      <c r="J2090" s="11"/>
      <c r="K2090" s="11"/>
      <c r="L2090" s="11">
        <f>+D2090</f>
        <v>67630000</v>
      </c>
      <c r="M2090" s="12"/>
      <c r="N2090" s="12"/>
      <c r="P2090" s="55"/>
      <c r="Q2090" s="55"/>
      <c r="R2090" s="14"/>
      <c r="S2090" s="14"/>
    </row>
    <row r="2091" spans="2:19" ht="12.75" hidden="1" customHeight="1" x14ac:dyDescent="0.25">
      <c r="B2091" s="16">
        <v>43867.125</v>
      </c>
      <c r="C2091" s="50" t="s">
        <v>1988</v>
      </c>
      <c r="D2091" s="34"/>
      <c r="E2091" s="37">
        <v>1530000</v>
      </c>
      <c r="F2091" s="37"/>
      <c r="G2091" s="37">
        <f t="shared" ref="G2091:G2103" si="381">+E2091</f>
        <v>1530000</v>
      </c>
      <c r="H2091" s="64"/>
      <c r="I2091" s="64"/>
      <c r="J2091" s="64">
        <v>13094.9</v>
      </c>
      <c r="K2091" s="18">
        <f t="shared" ref="K2091:K2103" si="382">+G2091-H2091-I2091-J2091</f>
        <v>1516905.1</v>
      </c>
      <c r="L2091" s="19">
        <f t="shared" ref="L2091:L2103" si="383">+L2090-G2091</f>
        <v>66100000</v>
      </c>
      <c r="M2091" s="20"/>
      <c r="N2091" s="20"/>
      <c r="O2091" s="81">
        <f>+L2103-'[1]ANEXO 7 - PPTO VIG 2020'!T11</f>
        <v>0</v>
      </c>
      <c r="P2091" s="55">
        <v>39371783</v>
      </c>
      <c r="Q2091" s="97">
        <v>43800</v>
      </c>
      <c r="R2091" s="14">
        <v>230000</v>
      </c>
      <c r="S2091" s="14">
        <v>294400</v>
      </c>
    </row>
    <row r="2092" spans="2:19" ht="12.75" hidden="1" customHeight="1" x14ac:dyDescent="0.25">
      <c r="B2092" s="16">
        <v>43893.125</v>
      </c>
      <c r="C2092" s="50" t="s">
        <v>1989</v>
      </c>
      <c r="D2092" s="34"/>
      <c r="E2092" s="37">
        <v>5100000</v>
      </c>
      <c r="F2092" s="37"/>
      <c r="G2092" s="37">
        <f t="shared" si="381"/>
        <v>5100000</v>
      </c>
      <c r="H2092" s="64"/>
      <c r="I2092" s="64"/>
      <c r="J2092" s="64">
        <v>43649.68</v>
      </c>
      <c r="K2092" s="18">
        <f t="shared" si="382"/>
        <v>5056350.32</v>
      </c>
      <c r="L2092" s="19">
        <f t="shared" si="383"/>
        <v>61000000</v>
      </c>
      <c r="M2092" s="20"/>
      <c r="N2092" s="20"/>
      <c r="O2092" s="81"/>
      <c r="P2092" s="55">
        <v>40201017</v>
      </c>
      <c r="Q2092" s="97">
        <v>43831</v>
      </c>
      <c r="R2092" s="14">
        <v>255000</v>
      </c>
      <c r="S2092" s="14">
        <v>328400</v>
      </c>
    </row>
    <row r="2093" spans="2:19" ht="12.75" hidden="1" customHeight="1" x14ac:dyDescent="0.25">
      <c r="B2093" s="16">
        <v>43929.083333333336</v>
      </c>
      <c r="C2093" s="50" t="s">
        <v>1990</v>
      </c>
      <c r="D2093" s="34"/>
      <c r="E2093" s="37">
        <v>5100000</v>
      </c>
      <c r="F2093" s="37"/>
      <c r="G2093" s="37">
        <f t="shared" si="381"/>
        <v>5100000</v>
      </c>
      <c r="H2093" s="64"/>
      <c r="I2093" s="64"/>
      <c r="J2093" s="64">
        <v>43649.68</v>
      </c>
      <c r="K2093" s="18">
        <f t="shared" si="382"/>
        <v>5056350.32</v>
      </c>
      <c r="L2093" s="19">
        <f t="shared" si="383"/>
        <v>55900000</v>
      </c>
      <c r="M2093" s="20"/>
      <c r="N2093" s="20"/>
      <c r="O2093" s="81"/>
      <c r="P2093" s="55">
        <v>41070424</v>
      </c>
      <c r="Q2093" s="97">
        <v>43862</v>
      </c>
      <c r="R2093" s="14">
        <v>255000</v>
      </c>
      <c r="S2093" s="14">
        <v>326400</v>
      </c>
    </row>
    <row r="2094" spans="2:19" ht="12.75" hidden="1" customHeight="1" x14ac:dyDescent="0.25">
      <c r="B2094" s="16">
        <v>43956.083333333336</v>
      </c>
      <c r="C2094" s="50" t="s">
        <v>1991</v>
      </c>
      <c r="D2094" s="34"/>
      <c r="E2094" s="37">
        <v>5100000</v>
      </c>
      <c r="F2094" s="37"/>
      <c r="G2094" s="37">
        <f t="shared" si="381"/>
        <v>5100000</v>
      </c>
      <c r="H2094" s="64"/>
      <c r="I2094" s="64"/>
      <c r="J2094" s="64">
        <v>43649.68</v>
      </c>
      <c r="K2094" s="18">
        <f t="shared" si="382"/>
        <v>5056350.32</v>
      </c>
      <c r="L2094" s="19">
        <f t="shared" si="383"/>
        <v>50800000</v>
      </c>
      <c r="M2094" s="20"/>
      <c r="N2094" s="20"/>
      <c r="O2094" s="81"/>
      <c r="P2094" s="55">
        <v>41865955</v>
      </c>
      <c r="Q2094" s="97">
        <v>43891</v>
      </c>
      <c r="R2094" s="14">
        <v>255000</v>
      </c>
      <c r="S2094" s="14">
        <v>326400</v>
      </c>
    </row>
    <row r="2095" spans="2:19" ht="12.75" hidden="1" customHeight="1" x14ac:dyDescent="0.25">
      <c r="B2095" s="16">
        <v>43986.083333333336</v>
      </c>
      <c r="C2095" s="50" t="s">
        <v>1992</v>
      </c>
      <c r="D2095" s="34"/>
      <c r="E2095" s="37">
        <v>5100000</v>
      </c>
      <c r="F2095" s="37"/>
      <c r="G2095" s="37">
        <f t="shared" si="381"/>
        <v>5100000</v>
      </c>
      <c r="H2095" s="64"/>
      <c r="I2095" s="64">
        <v>37460.379999999997</v>
      </c>
      <c r="J2095" s="64">
        <v>46211.51</v>
      </c>
      <c r="K2095" s="18">
        <f t="shared" si="382"/>
        <v>5016328.1100000003</v>
      </c>
      <c r="L2095" s="19">
        <f t="shared" si="383"/>
        <v>45700000</v>
      </c>
      <c r="M2095" s="20"/>
      <c r="N2095" s="20"/>
      <c r="O2095" s="81"/>
      <c r="P2095" s="55">
        <v>42650075</v>
      </c>
      <c r="Q2095" s="97">
        <v>43922</v>
      </c>
      <c r="R2095" s="14">
        <v>255000</v>
      </c>
      <c r="S2095" s="14">
        <v>61200</v>
      </c>
    </row>
    <row r="2096" spans="2:19" ht="12.75" hidden="1" customHeight="1" x14ac:dyDescent="0.25">
      <c r="B2096" s="16">
        <v>44014.083333333336</v>
      </c>
      <c r="C2096" s="50" t="s">
        <v>1993</v>
      </c>
      <c r="D2096" s="34"/>
      <c r="E2096" s="37">
        <v>5100000</v>
      </c>
      <c r="F2096" s="37"/>
      <c r="G2096" s="37">
        <f t="shared" si="381"/>
        <v>5100000</v>
      </c>
      <c r="H2096" s="64"/>
      <c r="I2096" s="64">
        <v>37460.379999999997</v>
      </c>
      <c r="J2096" s="64">
        <v>46211.51</v>
      </c>
      <c r="K2096" s="18">
        <f t="shared" si="382"/>
        <v>5016328.1100000003</v>
      </c>
      <c r="L2096" s="19">
        <f t="shared" si="383"/>
        <v>40600000</v>
      </c>
      <c r="M2096" s="20"/>
      <c r="N2096" s="20"/>
      <c r="O2096" s="81"/>
      <c r="P2096" s="55">
        <v>42700262</v>
      </c>
      <c r="Q2096" s="97">
        <v>43952</v>
      </c>
      <c r="R2096" s="14">
        <v>255000</v>
      </c>
      <c r="S2096" s="14">
        <v>61200</v>
      </c>
    </row>
    <row r="2097" spans="2:19" ht="12.75" hidden="1" customHeight="1" x14ac:dyDescent="0.25">
      <c r="B2097" s="16">
        <v>44047.083333333336</v>
      </c>
      <c r="C2097" s="50" t="s">
        <v>1994</v>
      </c>
      <c r="D2097" s="34"/>
      <c r="E2097" s="37">
        <v>5100000</v>
      </c>
      <c r="F2097" s="37"/>
      <c r="G2097" s="37">
        <f t="shared" si="381"/>
        <v>5100000</v>
      </c>
      <c r="H2097" s="64"/>
      <c r="I2097" s="64"/>
      <c r="J2097" s="64">
        <v>43649.68</v>
      </c>
      <c r="K2097" s="18">
        <f t="shared" si="382"/>
        <v>5056350.32</v>
      </c>
      <c r="L2097" s="19">
        <f t="shared" si="383"/>
        <v>35500000</v>
      </c>
      <c r="M2097" s="20"/>
      <c r="N2097" s="20"/>
      <c r="O2097" s="81"/>
      <c r="P2097" s="55">
        <v>43743184</v>
      </c>
      <c r="Q2097" s="97">
        <v>43983</v>
      </c>
      <c r="R2097" s="14">
        <v>255000</v>
      </c>
      <c r="S2097" s="14">
        <v>326400</v>
      </c>
    </row>
    <row r="2098" spans="2:19" ht="12.75" hidden="1" customHeight="1" x14ac:dyDescent="0.25">
      <c r="B2098" s="16">
        <v>44076.083333333336</v>
      </c>
      <c r="C2098" s="50" t="s">
        <v>1995</v>
      </c>
      <c r="D2098" s="34"/>
      <c r="E2098" s="37">
        <v>5100000</v>
      </c>
      <c r="F2098" s="37"/>
      <c r="G2098" s="37">
        <f t="shared" si="381"/>
        <v>5100000</v>
      </c>
      <c r="H2098" s="64"/>
      <c r="I2098" s="64"/>
      <c r="J2098" s="64">
        <v>43649.68</v>
      </c>
      <c r="K2098" s="18">
        <f t="shared" si="382"/>
        <v>5056350.32</v>
      </c>
      <c r="L2098" s="19">
        <f t="shared" si="383"/>
        <v>30400000</v>
      </c>
      <c r="M2098" s="20"/>
      <c r="N2098" s="20"/>
      <c r="O2098" s="81"/>
      <c r="P2098" s="55">
        <v>44253227</v>
      </c>
      <c r="Q2098" s="97">
        <v>44013</v>
      </c>
      <c r="R2098" s="14">
        <v>255000</v>
      </c>
      <c r="S2098" s="14">
        <v>326400</v>
      </c>
    </row>
    <row r="2099" spans="2:19" ht="12.75" hidden="1" customHeight="1" x14ac:dyDescent="0.25">
      <c r="B2099" s="16">
        <v>44109.083333333336</v>
      </c>
      <c r="C2099" s="50" t="s">
        <v>1996</v>
      </c>
      <c r="D2099" s="34"/>
      <c r="E2099" s="37">
        <v>5100000</v>
      </c>
      <c r="F2099" s="37"/>
      <c r="G2099" s="37">
        <f t="shared" si="381"/>
        <v>5100000</v>
      </c>
      <c r="H2099" s="64"/>
      <c r="I2099" s="64"/>
      <c r="J2099" s="64">
        <v>43649.68</v>
      </c>
      <c r="K2099" s="18">
        <f t="shared" si="382"/>
        <v>5056350.32</v>
      </c>
      <c r="L2099" s="19">
        <f t="shared" si="383"/>
        <v>25300000</v>
      </c>
      <c r="M2099" s="20"/>
      <c r="N2099" s="20"/>
      <c r="O2099" s="81"/>
      <c r="P2099" s="21">
        <v>44503753</v>
      </c>
      <c r="Q2099" s="98">
        <v>44044</v>
      </c>
      <c r="R2099" s="14">
        <v>255000</v>
      </c>
      <c r="S2099" s="14">
        <v>326400</v>
      </c>
    </row>
    <row r="2100" spans="2:19" ht="12.75" hidden="1" customHeight="1" x14ac:dyDescent="0.25">
      <c r="B2100" s="16">
        <v>44141.125</v>
      </c>
      <c r="C2100" s="50" t="s">
        <v>1997</v>
      </c>
      <c r="D2100" s="34"/>
      <c r="E2100" s="37">
        <v>5100000</v>
      </c>
      <c r="F2100" s="37"/>
      <c r="G2100" s="37">
        <f t="shared" si="381"/>
        <v>5100000</v>
      </c>
      <c r="H2100" s="64"/>
      <c r="I2100" s="64"/>
      <c r="J2100" s="64">
        <v>43649.68</v>
      </c>
      <c r="K2100" s="18">
        <f t="shared" si="382"/>
        <v>5056350.32</v>
      </c>
      <c r="L2100" s="19">
        <f t="shared" si="383"/>
        <v>20200000</v>
      </c>
      <c r="M2100" s="20"/>
      <c r="N2100" s="20"/>
      <c r="O2100" s="81"/>
      <c r="P2100" s="55">
        <v>45228682</v>
      </c>
      <c r="Q2100" s="97">
        <v>44075</v>
      </c>
      <c r="R2100" s="14">
        <v>255000</v>
      </c>
      <c r="S2100" s="14">
        <v>326400</v>
      </c>
    </row>
    <row r="2101" spans="2:19" ht="12.75" hidden="1" customHeight="1" x14ac:dyDescent="0.25">
      <c r="B2101" s="16">
        <v>44168.125</v>
      </c>
      <c r="C2101" s="50" t="s">
        <v>1998</v>
      </c>
      <c r="D2101" s="34"/>
      <c r="E2101" s="37">
        <v>5100000</v>
      </c>
      <c r="F2101" s="37"/>
      <c r="G2101" s="37">
        <f t="shared" si="381"/>
        <v>5100000</v>
      </c>
      <c r="H2101" s="64"/>
      <c r="I2101" s="64"/>
      <c r="J2101" s="64">
        <v>43649.68</v>
      </c>
      <c r="K2101" s="18">
        <f t="shared" si="382"/>
        <v>5056350.32</v>
      </c>
      <c r="L2101" s="19">
        <f t="shared" si="383"/>
        <v>15100000</v>
      </c>
      <c r="M2101" s="20"/>
      <c r="N2101" s="20"/>
      <c r="O2101" s="81"/>
      <c r="P2101" s="55">
        <v>45787615</v>
      </c>
      <c r="Q2101" s="97">
        <v>44105</v>
      </c>
      <c r="R2101" s="14">
        <v>255000</v>
      </c>
      <c r="S2101" s="14">
        <v>326400</v>
      </c>
    </row>
    <row r="2102" spans="2:19" ht="12.75" hidden="1" customHeight="1" x14ac:dyDescent="0.25">
      <c r="B2102" s="16">
        <v>44189.125</v>
      </c>
      <c r="C2102" s="50" t="s">
        <v>1999</v>
      </c>
      <c r="D2102" s="34"/>
      <c r="E2102" s="37">
        <v>5100000</v>
      </c>
      <c r="F2102" s="37"/>
      <c r="G2102" s="37">
        <f t="shared" si="381"/>
        <v>5100000</v>
      </c>
      <c r="H2102" s="64"/>
      <c r="I2102" s="64">
        <v>84043.66</v>
      </c>
      <c r="J2102" s="64">
        <v>49266</v>
      </c>
      <c r="K2102" s="18">
        <f t="shared" si="382"/>
        <v>4966690.34</v>
      </c>
      <c r="L2102" s="19">
        <f t="shared" si="383"/>
        <v>10000000</v>
      </c>
      <c r="M2102" s="20"/>
      <c r="N2102" s="20"/>
      <c r="O2102" s="81"/>
      <c r="P2102" s="55">
        <v>46526760</v>
      </c>
      <c r="Q2102" s="97">
        <v>44136</v>
      </c>
      <c r="R2102" s="14">
        <v>255000</v>
      </c>
      <c r="S2102" s="14">
        <v>326400</v>
      </c>
    </row>
    <row r="2103" spans="2:19" ht="12.75" hidden="1" customHeight="1" x14ac:dyDescent="0.25">
      <c r="B2103" s="16"/>
      <c r="C2103" s="50" t="s">
        <v>654</v>
      </c>
      <c r="D2103" s="34"/>
      <c r="E2103" s="37">
        <v>10000000</v>
      </c>
      <c r="F2103" s="37"/>
      <c r="G2103" s="37">
        <f t="shared" si="381"/>
        <v>10000000</v>
      </c>
      <c r="H2103" s="64"/>
      <c r="I2103" s="64"/>
      <c r="J2103" s="64"/>
      <c r="K2103" s="18">
        <f t="shared" si="382"/>
        <v>10000000</v>
      </c>
      <c r="L2103" s="19">
        <f t="shared" si="383"/>
        <v>0</v>
      </c>
      <c r="M2103" s="20"/>
      <c r="N2103" s="20"/>
      <c r="O2103" s="81"/>
      <c r="P2103" s="55">
        <v>47138246</v>
      </c>
      <c r="Q2103" s="97">
        <v>44166</v>
      </c>
      <c r="R2103" s="14">
        <v>255000</v>
      </c>
      <c r="S2103" s="14">
        <v>326400</v>
      </c>
    </row>
    <row r="2104" spans="2:19" ht="15" hidden="1" x14ac:dyDescent="0.25">
      <c r="B2104" s="9" t="s">
        <v>2000</v>
      </c>
      <c r="C2104" s="10"/>
      <c r="D2104" s="11">
        <v>60850000</v>
      </c>
      <c r="E2104" s="11">
        <f>+D2104</f>
        <v>60850000</v>
      </c>
      <c r="F2104" s="11"/>
      <c r="G2104" s="11"/>
      <c r="H2104" s="11"/>
      <c r="I2104" s="11"/>
      <c r="J2104" s="11"/>
      <c r="K2104" s="11"/>
      <c r="L2104" s="11">
        <f>+D2104</f>
        <v>60850000</v>
      </c>
      <c r="M2104" s="12"/>
      <c r="N2104" s="12"/>
      <c r="P2104" s="55"/>
      <c r="Q2104" s="55"/>
      <c r="R2104" s="14"/>
      <c r="S2104" s="14"/>
    </row>
    <row r="2105" spans="2:19" ht="12.75" hidden="1" customHeight="1" x14ac:dyDescent="0.25">
      <c r="B2105" s="16">
        <v>43866.125</v>
      </c>
      <c r="C2105" s="50" t="s">
        <v>2001</v>
      </c>
      <c r="D2105" s="34"/>
      <c r="E2105" s="37">
        <v>1350000</v>
      </c>
      <c r="F2105" s="37"/>
      <c r="G2105" s="37">
        <f t="shared" ref="G2105:G2117" si="384">+E2105</f>
        <v>1350000</v>
      </c>
      <c r="H2105" s="64"/>
      <c r="I2105" s="64"/>
      <c r="J2105" s="64">
        <v>13041</v>
      </c>
      <c r="K2105" s="18">
        <f t="shared" ref="K2105:K2117" si="385">+G2105-H2105-I2105-J2105</f>
        <v>1336959</v>
      </c>
      <c r="L2105" s="19">
        <f t="shared" ref="L2105:L2117" si="386">+L2104-G2105</f>
        <v>59500000</v>
      </c>
      <c r="M2105" s="20"/>
      <c r="N2105" s="20"/>
      <c r="O2105" s="81">
        <f>+L2117-'[1]ANEXO 7 - PPTO VIG 2020'!T12</f>
        <v>0</v>
      </c>
      <c r="P2105" s="55">
        <v>9402145256</v>
      </c>
      <c r="Q2105" s="97">
        <v>43831</v>
      </c>
      <c r="R2105" s="14">
        <v>225000</v>
      </c>
      <c r="S2105" s="14">
        <v>288000</v>
      </c>
    </row>
    <row r="2106" spans="2:19" ht="12.75" hidden="1" customHeight="1" x14ac:dyDescent="0.25">
      <c r="B2106" s="89">
        <v>43893.125</v>
      </c>
      <c r="C2106" s="90" t="s">
        <v>2002</v>
      </c>
      <c r="D2106" s="34"/>
      <c r="E2106" s="37">
        <v>4500000</v>
      </c>
      <c r="F2106" s="37"/>
      <c r="G2106" s="37">
        <f t="shared" si="384"/>
        <v>4500000</v>
      </c>
      <c r="H2106" s="64"/>
      <c r="I2106" s="64"/>
      <c r="J2106" s="91">
        <v>38514.42</v>
      </c>
      <c r="K2106" s="18">
        <f t="shared" si="385"/>
        <v>4461485.58</v>
      </c>
      <c r="L2106" s="19">
        <f t="shared" si="386"/>
        <v>55000000</v>
      </c>
      <c r="M2106" s="20"/>
      <c r="N2106" s="20"/>
      <c r="O2106" s="81"/>
      <c r="P2106" s="55">
        <v>9402707972</v>
      </c>
      <c r="Q2106" s="97">
        <v>43862</v>
      </c>
      <c r="R2106" s="14">
        <v>225000</v>
      </c>
      <c r="S2106" s="14">
        <v>288000</v>
      </c>
    </row>
    <row r="2107" spans="2:19" ht="12.75" hidden="1" customHeight="1" x14ac:dyDescent="0.25">
      <c r="B2107" s="89">
        <v>43929.083333333336</v>
      </c>
      <c r="C2107" s="90" t="s">
        <v>2003</v>
      </c>
      <c r="D2107" s="34"/>
      <c r="E2107" s="37">
        <v>4500000</v>
      </c>
      <c r="F2107" s="37"/>
      <c r="G2107" s="37">
        <f t="shared" si="384"/>
        <v>4500000</v>
      </c>
      <c r="H2107" s="64"/>
      <c r="I2107" s="64"/>
      <c r="J2107" s="91">
        <v>38514.42</v>
      </c>
      <c r="K2107" s="18">
        <f t="shared" si="385"/>
        <v>4461485.58</v>
      </c>
      <c r="L2107" s="19">
        <f t="shared" si="386"/>
        <v>50500000</v>
      </c>
      <c r="M2107" s="20"/>
      <c r="N2107" s="20"/>
      <c r="O2107" s="81"/>
      <c r="P2107" s="55">
        <v>596154193</v>
      </c>
      <c r="Q2107" s="97">
        <v>43891</v>
      </c>
      <c r="R2107" s="14">
        <v>225000</v>
      </c>
      <c r="S2107" s="14">
        <v>288000</v>
      </c>
    </row>
    <row r="2108" spans="2:19" ht="12.75" hidden="1" customHeight="1" x14ac:dyDescent="0.25">
      <c r="B2108" s="89">
        <v>43957.083333333336</v>
      </c>
      <c r="C2108" s="90" t="s">
        <v>2004</v>
      </c>
      <c r="D2108" s="34"/>
      <c r="E2108" s="37">
        <v>4500000</v>
      </c>
      <c r="F2108" s="37"/>
      <c r="G2108" s="37">
        <f t="shared" si="384"/>
        <v>4500000</v>
      </c>
      <c r="H2108" s="64"/>
      <c r="I2108" s="64"/>
      <c r="J2108" s="91">
        <v>38514.42</v>
      </c>
      <c r="K2108" s="18">
        <f t="shared" si="385"/>
        <v>4461485.58</v>
      </c>
      <c r="L2108" s="19">
        <f t="shared" si="386"/>
        <v>46000000</v>
      </c>
      <c r="M2108" s="20"/>
      <c r="N2108" s="20"/>
      <c r="O2108" s="81"/>
      <c r="P2108" s="55">
        <v>9406155022</v>
      </c>
      <c r="Q2108" s="97">
        <v>43922</v>
      </c>
      <c r="R2108" s="14">
        <v>225000</v>
      </c>
      <c r="S2108" s="14">
        <v>54000</v>
      </c>
    </row>
    <row r="2109" spans="2:19" ht="12.75" hidden="1" customHeight="1" x14ac:dyDescent="0.25">
      <c r="B2109" s="89">
        <v>43987.083333333336</v>
      </c>
      <c r="C2109" s="90" t="s">
        <v>2005</v>
      </c>
      <c r="D2109" s="34"/>
      <c r="E2109" s="37">
        <v>4500000</v>
      </c>
      <c r="F2109" s="37"/>
      <c r="G2109" s="37">
        <f t="shared" si="384"/>
        <v>4500000</v>
      </c>
      <c r="H2109" s="64"/>
      <c r="I2109" s="64"/>
      <c r="J2109" s="91">
        <v>40774.86</v>
      </c>
      <c r="K2109" s="18">
        <f t="shared" si="385"/>
        <v>4459225.1399999997</v>
      </c>
      <c r="L2109" s="19">
        <f t="shared" si="386"/>
        <v>41500000</v>
      </c>
      <c r="M2109" s="20"/>
      <c r="N2109" s="20"/>
      <c r="O2109" s="81"/>
      <c r="P2109" s="55">
        <v>9406155249</v>
      </c>
      <c r="Q2109" s="97">
        <v>43952</v>
      </c>
      <c r="R2109" s="14">
        <v>225000</v>
      </c>
      <c r="S2109" s="14">
        <v>54000</v>
      </c>
    </row>
    <row r="2110" spans="2:19" ht="12.75" hidden="1" customHeight="1" x14ac:dyDescent="0.25">
      <c r="B2110" s="89">
        <v>44014.083333333336</v>
      </c>
      <c r="C2110" s="90" t="s">
        <v>2006</v>
      </c>
      <c r="D2110" s="34"/>
      <c r="E2110" s="37">
        <v>4500000</v>
      </c>
      <c r="F2110" s="37"/>
      <c r="G2110" s="37">
        <f t="shared" si="384"/>
        <v>4500000</v>
      </c>
      <c r="H2110" s="64"/>
      <c r="I2110" s="64"/>
      <c r="J2110" s="91">
        <v>40774.86</v>
      </c>
      <c r="K2110" s="18">
        <f t="shared" si="385"/>
        <v>4459225.1399999997</v>
      </c>
      <c r="L2110" s="19">
        <f t="shared" si="386"/>
        <v>37000000</v>
      </c>
      <c r="M2110" s="20"/>
      <c r="N2110" s="20"/>
      <c r="O2110" s="81"/>
      <c r="P2110" s="55">
        <v>9407990947</v>
      </c>
      <c r="Q2110" s="97">
        <v>43983</v>
      </c>
      <c r="R2110" s="14">
        <v>225000</v>
      </c>
      <c r="S2110" s="14">
        <v>288000</v>
      </c>
    </row>
    <row r="2111" spans="2:19" ht="12.75" hidden="1" customHeight="1" x14ac:dyDescent="0.25">
      <c r="B2111" s="89">
        <v>44047.083333333336</v>
      </c>
      <c r="C2111" s="90" t="s">
        <v>2007</v>
      </c>
      <c r="D2111" s="34"/>
      <c r="E2111" s="37">
        <v>4500000</v>
      </c>
      <c r="F2111" s="37"/>
      <c r="G2111" s="37">
        <f t="shared" si="384"/>
        <v>4500000</v>
      </c>
      <c r="H2111" s="64"/>
      <c r="I2111" s="64"/>
      <c r="J2111" s="91">
        <v>40774.86</v>
      </c>
      <c r="K2111" s="18">
        <f t="shared" si="385"/>
        <v>4459225.1399999997</v>
      </c>
      <c r="L2111" s="19">
        <f t="shared" si="386"/>
        <v>32500000</v>
      </c>
      <c r="M2111" s="20"/>
      <c r="N2111" s="20"/>
      <c r="O2111" s="81"/>
      <c r="P2111" s="55">
        <v>9409245866</v>
      </c>
      <c r="Q2111" s="97">
        <v>44013</v>
      </c>
      <c r="R2111" s="14">
        <v>225000</v>
      </c>
      <c r="S2111" s="14">
        <v>288000</v>
      </c>
    </row>
    <row r="2112" spans="2:19" ht="12.75" hidden="1" customHeight="1" x14ac:dyDescent="0.25">
      <c r="B2112" s="89">
        <v>44077.083333333336</v>
      </c>
      <c r="C2112" s="90" t="s">
        <v>2008</v>
      </c>
      <c r="D2112" s="34"/>
      <c r="E2112" s="37">
        <v>4500000</v>
      </c>
      <c r="F2112" s="37"/>
      <c r="G2112" s="37">
        <f t="shared" si="384"/>
        <v>4500000</v>
      </c>
      <c r="H2112" s="64"/>
      <c r="I2112" s="64"/>
      <c r="J2112" s="91">
        <v>38514.42</v>
      </c>
      <c r="K2112" s="18">
        <f t="shared" si="385"/>
        <v>4461485.58</v>
      </c>
      <c r="L2112" s="19">
        <f t="shared" si="386"/>
        <v>28000000</v>
      </c>
      <c r="M2112" s="20"/>
      <c r="N2112" s="20"/>
      <c r="O2112" s="81"/>
      <c r="P2112" s="55">
        <v>9410378320</v>
      </c>
      <c r="Q2112" s="97">
        <v>44044</v>
      </c>
      <c r="R2112" s="14">
        <v>225000</v>
      </c>
      <c r="S2112" s="14">
        <v>288000</v>
      </c>
    </row>
    <row r="2113" spans="2:19" ht="12.75" hidden="1" customHeight="1" x14ac:dyDescent="0.25">
      <c r="B2113" s="89">
        <v>44109.083333333336</v>
      </c>
      <c r="C2113" s="90" t="s">
        <v>2009</v>
      </c>
      <c r="D2113" s="34"/>
      <c r="E2113" s="37">
        <v>4500000</v>
      </c>
      <c r="F2113" s="37"/>
      <c r="G2113" s="37">
        <f t="shared" si="384"/>
        <v>4500000</v>
      </c>
      <c r="H2113" s="64"/>
      <c r="I2113" s="64"/>
      <c r="J2113" s="91">
        <v>38514.42</v>
      </c>
      <c r="K2113" s="18">
        <f t="shared" si="385"/>
        <v>4461485.58</v>
      </c>
      <c r="L2113" s="19">
        <f t="shared" si="386"/>
        <v>23500000</v>
      </c>
      <c r="M2113" s="20"/>
      <c r="N2113" s="20"/>
      <c r="O2113" s="81"/>
      <c r="P2113" s="55">
        <v>9411535023</v>
      </c>
      <c r="Q2113" s="97">
        <v>44075</v>
      </c>
      <c r="R2113" s="14">
        <v>225000</v>
      </c>
      <c r="S2113" s="14">
        <v>288000</v>
      </c>
    </row>
    <row r="2114" spans="2:19" ht="12.75" hidden="1" customHeight="1" x14ac:dyDescent="0.25">
      <c r="B2114" s="89">
        <v>44141.125</v>
      </c>
      <c r="C2114" s="90" t="s">
        <v>2010</v>
      </c>
      <c r="D2114" s="34"/>
      <c r="E2114" s="37">
        <v>4500000</v>
      </c>
      <c r="F2114" s="37"/>
      <c r="G2114" s="37">
        <f t="shared" si="384"/>
        <v>4500000</v>
      </c>
      <c r="H2114" s="64"/>
      <c r="I2114" s="64"/>
      <c r="J2114" s="91">
        <v>38514.42</v>
      </c>
      <c r="K2114" s="18">
        <f t="shared" si="385"/>
        <v>4461485.58</v>
      </c>
      <c r="L2114" s="19">
        <f t="shared" si="386"/>
        <v>19000000</v>
      </c>
      <c r="M2114" s="20"/>
      <c r="N2114" s="20"/>
      <c r="O2114" s="81"/>
      <c r="P2114" s="55">
        <v>9412590487</v>
      </c>
      <c r="Q2114" s="97">
        <v>44105</v>
      </c>
      <c r="R2114" s="14">
        <v>225000</v>
      </c>
      <c r="S2114" s="14">
        <v>288000</v>
      </c>
    </row>
    <row r="2115" spans="2:19" ht="12.75" hidden="1" customHeight="1" x14ac:dyDescent="0.25">
      <c r="B2115" s="89">
        <v>44169.125</v>
      </c>
      <c r="C2115" s="90" t="s">
        <v>2011</v>
      </c>
      <c r="D2115" s="34"/>
      <c r="E2115" s="37">
        <v>4500000</v>
      </c>
      <c r="F2115" s="37"/>
      <c r="G2115" s="37">
        <f t="shared" si="384"/>
        <v>4500000</v>
      </c>
      <c r="H2115" s="64"/>
      <c r="I2115" s="64"/>
      <c r="J2115" s="91">
        <v>38514.42</v>
      </c>
      <c r="K2115" s="18">
        <f t="shared" si="385"/>
        <v>4461485.58</v>
      </c>
      <c r="L2115" s="19">
        <f t="shared" si="386"/>
        <v>14500000</v>
      </c>
      <c r="M2115" s="20"/>
      <c r="N2115" s="20"/>
      <c r="O2115" s="81"/>
      <c r="P2115" s="21">
        <v>9413766542</v>
      </c>
      <c r="Q2115" s="98">
        <v>44136</v>
      </c>
      <c r="R2115" s="14">
        <v>225000</v>
      </c>
      <c r="S2115" s="14">
        <v>288000</v>
      </c>
    </row>
    <row r="2116" spans="2:19" ht="12.75" hidden="1" customHeight="1" x14ac:dyDescent="0.25">
      <c r="B2116" s="89">
        <v>44189.125</v>
      </c>
      <c r="C2116" s="90" t="s">
        <v>2012</v>
      </c>
      <c r="D2116" s="34"/>
      <c r="E2116" s="37">
        <v>4500000</v>
      </c>
      <c r="F2116" s="37"/>
      <c r="G2116" s="37">
        <f t="shared" si="384"/>
        <v>4500000</v>
      </c>
      <c r="H2116" s="64"/>
      <c r="I2116" s="64"/>
      <c r="J2116" s="91">
        <v>38514.42</v>
      </c>
      <c r="K2116" s="18">
        <f t="shared" si="385"/>
        <v>4461485.58</v>
      </c>
      <c r="L2116" s="19">
        <f t="shared" si="386"/>
        <v>10000000</v>
      </c>
      <c r="M2116" s="20"/>
      <c r="N2116" s="20"/>
      <c r="O2116" s="81"/>
      <c r="P2116" s="21">
        <v>9413789906</v>
      </c>
      <c r="Q2116" s="98">
        <v>44166</v>
      </c>
      <c r="R2116" s="14">
        <v>225000</v>
      </c>
      <c r="S2116" s="14">
        <v>288000</v>
      </c>
    </row>
    <row r="2117" spans="2:19" ht="12.75" hidden="1" customHeight="1" x14ac:dyDescent="0.25">
      <c r="B2117" s="89"/>
      <c r="C2117" s="90" t="s">
        <v>654</v>
      </c>
      <c r="D2117" s="34"/>
      <c r="E2117" s="37">
        <v>10000000</v>
      </c>
      <c r="F2117" s="37"/>
      <c r="G2117" s="37">
        <f t="shared" si="384"/>
        <v>10000000</v>
      </c>
      <c r="H2117" s="64"/>
      <c r="I2117" s="64"/>
      <c r="J2117" s="91"/>
      <c r="K2117" s="18">
        <f t="shared" si="385"/>
        <v>10000000</v>
      </c>
      <c r="L2117" s="19">
        <f t="shared" si="386"/>
        <v>0</v>
      </c>
      <c r="M2117" s="20"/>
      <c r="N2117" s="20"/>
      <c r="O2117" s="81"/>
      <c r="Q2117" s="98"/>
      <c r="R2117" s="14"/>
      <c r="S2117" s="14"/>
    </row>
    <row r="2118" spans="2:19" ht="15" hidden="1" x14ac:dyDescent="0.25">
      <c r="B2118" s="9" t="s">
        <v>2013</v>
      </c>
      <c r="C2118" s="10"/>
      <c r="D2118" s="11">
        <v>87250000</v>
      </c>
      <c r="E2118" s="11">
        <f>+D2118</f>
        <v>87250000</v>
      </c>
      <c r="F2118" s="11"/>
      <c r="G2118" s="11"/>
      <c r="H2118" s="11"/>
      <c r="I2118" s="11"/>
      <c r="J2118" s="11"/>
      <c r="K2118" s="11"/>
      <c r="L2118" s="11">
        <f>+D2118</f>
        <v>87250000</v>
      </c>
      <c r="M2118" s="12"/>
      <c r="N2118" s="12"/>
      <c r="P2118" s="55"/>
      <c r="Q2118" s="55"/>
      <c r="R2118" s="14"/>
      <c r="S2118" s="14"/>
    </row>
    <row r="2119" spans="2:19" ht="12.75" hidden="1" customHeight="1" x14ac:dyDescent="0.25">
      <c r="B2119" s="16">
        <v>43866.125</v>
      </c>
      <c r="C2119" s="50" t="s">
        <v>2014</v>
      </c>
      <c r="D2119" s="34"/>
      <c r="E2119" s="37">
        <v>4500000</v>
      </c>
      <c r="F2119" s="37"/>
      <c r="G2119" s="37">
        <f t="shared" ref="G2119:G2124" si="387">+E2119</f>
        <v>4500000</v>
      </c>
      <c r="H2119" s="64"/>
      <c r="I2119" s="64"/>
      <c r="J2119" s="64">
        <v>38514.42</v>
      </c>
      <c r="K2119" s="18">
        <f t="shared" ref="K2119:K2124" si="388">+G2119-H2119-I2119-J2119</f>
        <v>4461485.58</v>
      </c>
      <c r="L2119" s="19">
        <f t="shared" ref="L2119:L2124" si="389">+L2118-G2119</f>
        <v>82750000</v>
      </c>
      <c r="M2119" s="20"/>
      <c r="N2119" s="20"/>
      <c r="O2119" s="81">
        <f>+L2125-'[1]ANEXO 7 - PPTO VIG 2020'!T10</f>
        <v>37750000</v>
      </c>
      <c r="P2119" s="55">
        <v>39656466</v>
      </c>
      <c r="Q2119" s="97">
        <v>43800</v>
      </c>
      <c r="R2119" s="14">
        <v>325000</v>
      </c>
      <c r="S2119" s="14">
        <v>416000</v>
      </c>
    </row>
    <row r="2120" spans="2:19" ht="12.75" hidden="1" customHeight="1" x14ac:dyDescent="0.25">
      <c r="B2120" s="16">
        <v>43895.125</v>
      </c>
      <c r="C2120" s="50" t="s">
        <v>2015</v>
      </c>
      <c r="D2120" s="34"/>
      <c r="E2120" s="37">
        <v>7500000</v>
      </c>
      <c r="F2120" s="37"/>
      <c r="G2120" s="37">
        <f t="shared" si="387"/>
        <v>7500000</v>
      </c>
      <c r="H2120" s="64"/>
      <c r="I2120" s="64">
        <v>301968.90000000002</v>
      </c>
      <c r="J2120" s="64">
        <v>64190.7</v>
      </c>
      <c r="K2120" s="18">
        <f t="shared" si="388"/>
        <v>7133840.3999999994</v>
      </c>
      <c r="L2120" s="19">
        <f t="shared" si="389"/>
        <v>75250000</v>
      </c>
      <c r="M2120" s="20"/>
      <c r="N2120" s="20"/>
      <c r="O2120" s="81"/>
      <c r="P2120" s="55">
        <v>40492850</v>
      </c>
      <c r="Q2120" s="97">
        <v>43831</v>
      </c>
      <c r="R2120" s="14">
        <v>375000</v>
      </c>
      <c r="S2120" s="14">
        <v>480000</v>
      </c>
    </row>
    <row r="2121" spans="2:19" ht="12.75" hidden="1" customHeight="1" x14ac:dyDescent="0.25">
      <c r="B2121" s="16">
        <v>43937.083333333336</v>
      </c>
      <c r="C2121" s="50" t="s">
        <v>2016</v>
      </c>
      <c r="D2121" s="34"/>
      <c r="E2121" s="37">
        <v>7500000</v>
      </c>
      <c r="F2121" s="37"/>
      <c r="G2121" s="37">
        <f t="shared" si="387"/>
        <v>7500000</v>
      </c>
      <c r="H2121" s="64"/>
      <c r="I2121" s="64">
        <v>301968.90000000002</v>
      </c>
      <c r="J2121" s="64">
        <v>64190.7</v>
      </c>
      <c r="K2121" s="18">
        <f t="shared" si="388"/>
        <v>7133840.3999999994</v>
      </c>
      <c r="L2121" s="19">
        <f t="shared" si="389"/>
        <v>67750000</v>
      </c>
      <c r="M2121" s="20"/>
      <c r="N2121" s="20"/>
      <c r="O2121" s="81"/>
      <c r="P2121" s="55">
        <v>41143521</v>
      </c>
      <c r="Q2121" s="97">
        <v>43862</v>
      </c>
      <c r="R2121" s="14">
        <v>375000</v>
      </c>
      <c r="S2121" s="14">
        <v>480000</v>
      </c>
    </row>
    <row r="2122" spans="2:19" ht="12.75" hidden="1" customHeight="1" x14ac:dyDescent="0.25">
      <c r="B2122" s="16">
        <v>43966.083333333336</v>
      </c>
      <c r="C2122" s="50" t="s">
        <v>2017</v>
      </c>
      <c r="D2122" s="34"/>
      <c r="E2122" s="37">
        <v>7500000</v>
      </c>
      <c r="F2122" s="37"/>
      <c r="G2122" s="37">
        <f t="shared" si="387"/>
        <v>7500000</v>
      </c>
      <c r="H2122" s="64"/>
      <c r="I2122" s="64">
        <v>301968.90000000002</v>
      </c>
      <c r="J2122" s="64">
        <v>64190.7</v>
      </c>
      <c r="K2122" s="18">
        <f t="shared" si="388"/>
        <v>7133840.3999999994</v>
      </c>
      <c r="L2122" s="19">
        <f t="shared" si="389"/>
        <v>60250000</v>
      </c>
      <c r="M2122" s="20"/>
      <c r="N2122" s="20"/>
      <c r="O2122" s="81"/>
      <c r="P2122" s="55"/>
      <c r="Q2122" s="55"/>
      <c r="R2122" s="55"/>
      <c r="S2122" s="55"/>
    </row>
    <row r="2123" spans="2:19" ht="12.75" hidden="1" customHeight="1" x14ac:dyDescent="0.25">
      <c r="B2123" s="16">
        <v>44019.083333333336</v>
      </c>
      <c r="C2123" s="50" t="s">
        <v>2018</v>
      </c>
      <c r="D2123" s="34"/>
      <c r="E2123" s="37">
        <v>7500000</v>
      </c>
      <c r="F2123" s="37"/>
      <c r="G2123" s="37">
        <f t="shared" si="387"/>
        <v>7500000</v>
      </c>
      <c r="H2123" s="64"/>
      <c r="I2123" s="64">
        <v>301968.90000000002</v>
      </c>
      <c r="J2123" s="64">
        <v>64190.7</v>
      </c>
      <c r="K2123" s="18">
        <f t="shared" si="388"/>
        <v>7133840.3999999994</v>
      </c>
      <c r="L2123" s="19">
        <f t="shared" si="389"/>
        <v>52750000</v>
      </c>
      <c r="M2123" s="20"/>
      <c r="N2123" s="20"/>
      <c r="O2123" s="81"/>
      <c r="P2123" s="55">
        <v>41907723</v>
      </c>
      <c r="Q2123" s="97">
        <v>43922</v>
      </c>
      <c r="R2123" s="14">
        <v>375000</v>
      </c>
      <c r="S2123" s="14">
        <v>480000</v>
      </c>
    </row>
    <row r="2124" spans="2:19" ht="12.75" hidden="1" customHeight="1" x14ac:dyDescent="0.25">
      <c r="B2124" s="16">
        <v>44053.083333333336</v>
      </c>
      <c r="C2124" s="50" t="s">
        <v>2019</v>
      </c>
      <c r="D2124" s="34"/>
      <c r="E2124" s="37">
        <v>7500000</v>
      </c>
      <c r="F2124" s="37"/>
      <c r="G2124" s="37">
        <f t="shared" si="387"/>
        <v>7500000</v>
      </c>
      <c r="H2124" s="64"/>
      <c r="I2124" s="64">
        <v>301968.90000000002</v>
      </c>
      <c r="J2124" s="64">
        <v>64190.7</v>
      </c>
      <c r="K2124" s="18">
        <f t="shared" si="388"/>
        <v>7133840.3999999994</v>
      </c>
      <c r="L2124" s="19">
        <f t="shared" si="389"/>
        <v>45250000</v>
      </c>
      <c r="M2124" s="20"/>
      <c r="N2124" s="20"/>
      <c r="O2124" s="81"/>
      <c r="P2124" s="55">
        <v>43401818</v>
      </c>
      <c r="Q2124" s="97">
        <v>43952</v>
      </c>
      <c r="R2124" s="14">
        <v>375000</v>
      </c>
      <c r="S2124" s="14">
        <v>480000</v>
      </c>
    </row>
    <row r="2125" spans="2:19" ht="12.75" hidden="1" customHeight="1" x14ac:dyDescent="0.25">
      <c r="B2125" s="16">
        <v>44082.083333333336</v>
      </c>
      <c r="C2125" s="50" t="s">
        <v>2020</v>
      </c>
      <c r="D2125" s="34"/>
      <c r="E2125" s="37">
        <v>7500000</v>
      </c>
      <c r="F2125" s="37"/>
      <c r="G2125" s="37">
        <f>+E2125</f>
        <v>7500000</v>
      </c>
      <c r="H2125" s="64"/>
      <c r="I2125" s="64">
        <v>301968.90000000002</v>
      </c>
      <c r="J2125" s="64">
        <v>64190.7</v>
      </c>
      <c r="K2125" s="18">
        <f>+G2125-H2125-I2125-J2125</f>
        <v>7133840.3999999994</v>
      </c>
      <c r="L2125" s="19">
        <f>+L2124-G2125</f>
        <v>37750000</v>
      </c>
      <c r="M2125" s="20"/>
      <c r="N2125" s="20"/>
      <c r="O2125" s="81"/>
      <c r="P2125" s="55"/>
      <c r="Q2125" s="97"/>
      <c r="R2125" s="14"/>
      <c r="S2125" s="14"/>
    </row>
    <row r="2126" spans="2:19" ht="15" hidden="1" x14ac:dyDescent="0.25">
      <c r="B2126" s="9" t="s">
        <v>2021</v>
      </c>
      <c r="C2126" s="10"/>
      <c r="D2126" s="11">
        <v>96250000</v>
      </c>
      <c r="E2126" s="11">
        <f>+D2126</f>
        <v>96250000</v>
      </c>
      <c r="F2126" s="11"/>
      <c r="G2126" s="11"/>
      <c r="H2126" s="11"/>
      <c r="I2126" s="11"/>
      <c r="J2126" s="11"/>
      <c r="K2126" s="11"/>
      <c r="L2126" s="11">
        <f>+D2126</f>
        <v>96250000</v>
      </c>
      <c r="M2126" s="12"/>
      <c r="N2126" s="12"/>
      <c r="P2126" s="55"/>
      <c r="Q2126" s="55"/>
      <c r="R2126" s="14"/>
      <c r="S2126" s="14"/>
    </row>
    <row r="2127" spans="2:19" ht="12.75" hidden="1" customHeight="1" x14ac:dyDescent="0.25">
      <c r="B2127" s="16">
        <v>43872.125</v>
      </c>
      <c r="C2127" s="50" t="s">
        <v>2022</v>
      </c>
      <c r="D2127" s="34"/>
      <c r="E2127" s="37">
        <v>3000000</v>
      </c>
      <c r="F2127" s="37"/>
      <c r="G2127" s="37">
        <f t="shared" ref="G2127:G2139" si="390">+E2127</f>
        <v>3000000</v>
      </c>
      <c r="H2127" s="64"/>
      <c r="I2127" s="64"/>
      <c r="J2127" s="64">
        <v>25676.28</v>
      </c>
      <c r="K2127" s="18">
        <f t="shared" ref="K2127:K2139" si="391">+G2127-H2127-I2127-J2127</f>
        <v>2974323.72</v>
      </c>
      <c r="L2127" s="19">
        <f t="shared" ref="L2127:L2139" si="392">+L2126-G2127</f>
        <v>93250000</v>
      </c>
      <c r="M2127" s="20"/>
      <c r="N2127" s="20"/>
      <c r="O2127" s="81">
        <f>+L2139-'[1]ANEXO 7 - PPTO VIG 2020'!T33</f>
        <v>0</v>
      </c>
      <c r="P2127" s="55">
        <v>40644530</v>
      </c>
      <c r="Q2127" s="97">
        <v>43831</v>
      </c>
      <c r="R2127" s="14">
        <v>376700</v>
      </c>
      <c r="S2127" s="14">
        <v>482100</v>
      </c>
    </row>
    <row r="2128" spans="2:19" ht="12.75" hidden="1" customHeight="1" x14ac:dyDescent="0.25">
      <c r="B2128" s="16">
        <v>43895.125</v>
      </c>
      <c r="C2128" s="50" t="s">
        <v>2023</v>
      </c>
      <c r="D2128" s="34"/>
      <c r="E2128" s="37">
        <v>7500000</v>
      </c>
      <c r="F2128" s="37"/>
      <c r="G2128" s="37">
        <f t="shared" si="390"/>
        <v>7500000</v>
      </c>
      <c r="H2128" s="64"/>
      <c r="I2128" s="64">
        <v>195093.89</v>
      </c>
      <c r="J2128" s="64">
        <v>64190.7</v>
      </c>
      <c r="K2128" s="18">
        <f t="shared" si="391"/>
        <v>7240715.4100000001</v>
      </c>
      <c r="L2128" s="19">
        <f t="shared" si="392"/>
        <v>85750000</v>
      </c>
      <c r="M2128" s="20"/>
      <c r="N2128" s="20"/>
      <c r="O2128" s="81"/>
      <c r="P2128" s="55">
        <v>41154440</v>
      </c>
      <c r="Q2128" s="97">
        <v>43862</v>
      </c>
      <c r="R2128" s="14">
        <v>375000</v>
      </c>
      <c r="S2128" s="14">
        <v>480000</v>
      </c>
    </row>
    <row r="2129" spans="2:20" ht="12.75" hidden="1" customHeight="1" x14ac:dyDescent="0.25">
      <c r="B2129" s="16">
        <v>43929.083333333336</v>
      </c>
      <c r="C2129" s="50" t="s">
        <v>2024</v>
      </c>
      <c r="D2129" s="34"/>
      <c r="E2129" s="37">
        <v>7500000</v>
      </c>
      <c r="F2129" s="37"/>
      <c r="G2129" s="37">
        <f t="shared" si="390"/>
        <v>7500000</v>
      </c>
      <c r="H2129" s="64"/>
      <c r="I2129" s="64">
        <v>195093.89</v>
      </c>
      <c r="J2129" s="64">
        <v>64190.7</v>
      </c>
      <c r="K2129" s="18">
        <f t="shared" si="391"/>
        <v>7240715.4100000001</v>
      </c>
      <c r="L2129" s="19">
        <f t="shared" si="392"/>
        <v>78250000</v>
      </c>
      <c r="M2129" s="20"/>
      <c r="N2129" s="20"/>
      <c r="O2129" s="81"/>
      <c r="P2129" s="55">
        <v>41152131</v>
      </c>
      <c r="Q2129" s="97">
        <v>43891</v>
      </c>
      <c r="R2129" s="14">
        <v>375000</v>
      </c>
      <c r="S2129" s="14">
        <v>480000</v>
      </c>
    </row>
    <row r="2130" spans="2:20" ht="12.75" hidden="1" customHeight="1" x14ac:dyDescent="0.25">
      <c r="B2130" s="16">
        <v>43959.083333333336</v>
      </c>
      <c r="C2130" s="50" t="s">
        <v>2025</v>
      </c>
      <c r="D2130" s="34"/>
      <c r="E2130" s="37">
        <v>7500000</v>
      </c>
      <c r="F2130" s="37"/>
      <c r="G2130" s="37">
        <f t="shared" si="390"/>
        <v>7500000</v>
      </c>
      <c r="H2130" s="64"/>
      <c r="I2130" s="64">
        <v>195093.89</v>
      </c>
      <c r="J2130" s="64">
        <v>64190.7</v>
      </c>
      <c r="K2130" s="18">
        <f t="shared" si="391"/>
        <v>7240715.4100000001</v>
      </c>
      <c r="L2130" s="19">
        <f t="shared" si="392"/>
        <v>70750000</v>
      </c>
      <c r="M2130" s="20"/>
      <c r="N2130" s="20"/>
      <c r="O2130" s="81"/>
      <c r="P2130" s="55">
        <v>636792846</v>
      </c>
      <c r="Q2130" s="97">
        <v>43922</v>
      </c>
      <c r="R2130" s="14">
        <v>375000</v>
      </c>
      <c r="S2130" s="14">
        <v>480000</v>
      </c>
    </row>
    <row r="2131" spans="2:20" ht="12.75" hidden="1" customHeight="1" x14ac:dyDescent="0.25">
      <c r="B2131" s="16">
        <v>43994.083333333336</v>
      </c>
      <c r="C2131" s="50" t="s">
        <v>2026</v>
      </c>
      <c r="D2131" s="34"/>
      <c r="E2131" s="37">
        <v>7500000</v>
      </c>
      <c r="F2131" s="37"/>
      <c r="G2131" s="37">
        <f t="shared" si="390"/>
        <v>7500000</v>
      </c>
      <c r="H2131" s="64"/>
      <c r="I2131" s="64">
        <v>195093.89</v>
      </c>
      <c r="J2131" s="64">
        <v>64190.7</v>
      </c>
      <c r="K2131" s="18">
        <f t="shared" si="391"/>
        <v>7240715.4100000001</v>
      </c>
      <c r="L2131" s="19">
        <f t="shared" si="392"/>
        <v>63250000</v>
      </c>
      <c r="M2131" s="20"/>
      <c r="N2131" s="20"/>
      <c r="O2131" s="81"/>
      <c r="P2131" s="55">
        <v>43520268</v>
      </c>
      <c r="Q2131" s="97">
        <v>43952</v>
      </c>
      <c r="R2131" s="14">
        <v>375000</v>
      </c>
      <c r="S2131" s="14">
        <v>480000</v>
      </c>
    </row>
    <row r="2132" spans="2:20" ht="12.75" hidden="1" customHeight="1" x14ac:dyDescent="0.25">
      <c r="B2132" s="16">
        <v>44019.083333333336</v>
      </c>
      <c r="C2132" s="50" t="s">
        <v>2027</v>
      </c>
      <c r="D2132" s="34"/>
      <c r="E2132" s="37">
        <v>7500000</v>
      </c>
      <c r="F2132" s="37"/>
      <c r="G2132" s="37">
        <f t="shared" si="390"/>
        <v>7500000</v>
      </c>
      <c r="H2132" s="64"/>
      <c r="I2132" s="64">
        <v>195093.89</v>
      </c>
      <c r="J2132" s="64">
        <v>64190.7</v>
      </c>
      <c r="K2132" s="18">
        <f t="shared" si="391"/>
        <v>7240715.4100000001</v>
      </c>
      <c r="L2132" s="19">
        <f t="shared" si="392"/>
        <v>55750000</v>
      </c>
      <c r="M2132" s="20"/>
      <c r="N2132" s="20"/>
      <c r="O2132" s="81"/>
      <c r="P2132" s="55">
        <v>44286339</v>
      </c>
      <c r="Q2132" s="97">
        <v>43983</v>
      </c>
      <c r="R2132" s="14">
        <v>375000</v>
      </c>
      <c r="S2132" s="14">
        <v>480000</v>
      </c>
    </row>
    <row r="2133" spans="2:20" ht="12.75" hidden="1" customHeight="1" x14ac:dyDescent="0.25">
      <c r="B2133" s="16">
        <v>44053.083333333336</v>
      </c>
      <c r="C2133" s="50" t="s">
        <v>2028</v>
      </c>
      <c r="D2133" s="34"/>
      <c r="E2133" s="37">
        <v>7500000</v>
      </c>
      <c r="F2133" s="37"/>
      <c r="G2133" s="37">
        <f t="shared" si="390"/>
        <v>7500000</v>
      </c>
      <c r="H2133" s="64"/>
      <c r="I2133" s="64">
        <v>195093.89</v>
      </c>
      <c r="J2133" s="64">
        <v>64190.7</v>
      </c>
      <c r="K2133" s="18">
        <f t="shared" si="391"/>
        <v>7240715.4100000001</v>
      </c>
      <c r="L2133" s="19">
        <f t="shared" si="392"/>
        <v>48250000</v>
      </c>
      <c r="M2133" s="20"/>
      <c r="N2133" s="20"/>
      <c r="O2133" s="81"/>
      <c r="P2133" s="55">
        <v>718705216</v>
      </c>
      <c r="Q2133" s="97">
        <v>44013</v>
      </c>
      <c r="R2133" s="14">
        <v>375000</v>
      </c>
      <c r="S2133" s="14">
        <v>480000</v>
      </c>
    </row>
    <row r="2134" spans="2:20" ht="12.75" hidden="1" customHeight="1" x14ac:dyDescent="0.25">
      <c r="B2134" s="16">
        <v>44077.083333333336</v>
      </c>
      <c r="C2134" s="50" t="s">
        <v>2029</v>
      </c>
      <c r="D2134" s="34"/>
      <c r="E2134" s="37">
        <v>7500000</v>
      </c>
      <c r="F2134" s="37"/>
      <c r="G2134" s="37">
        <f t="shared" si="390"/>
        <v>7500000</v>
      </c>
      <c r="H2134" s="64"/>
      <c r="I2134" s="64">
        <v>195093.89</v>
      </c>
      <c r="J2134" s="64">
        <v>64190.7</v>
      </c>
      <c r="K2134" s="18">
        <f t="shared" si="391"/>
        <v>7240715.4100000001</v>
      </c>
      <c r="L2134" s="19">
        <f t="shared" si="392"/>
        <v>40750000</v>
      </c>
      <c r="M2134" s="20"/>
      <c r="N2134" s="20"/>
      <c r="O2134" s="81"/>
      <c r="P2134" s="55">
        <v>45543720</v>
      </c>
      <c r="Q2134" s="97">
        <v>44044</v>
      </c>
      <c r="R2134" s="14">
        <v>375000</v>
      </c>
      <c r="S2134" s="14">
        <v>480000</v>
      </c>
    </row>
    <row r="2135" spans="2:20" ht="12.75" hidden="1" customHeight="1" x14ac:dyDescent="0.25">
      <c r="B2135" s="16">
        <v>44109.083333333336</v>
      </c>
      <c r="C2135" s="50" t="s">
        <v>2030</v>
      </c>
      <c r="D2135" s="34"/>
      <c r="E2135" s="37">
        <v>7500000</v>
      </c>
      <c r="F2135" s="37"/>
      <c r="G2135" s="37">
        <f t="shared" si="390"/>
        <v>7500000</v>
      </c>
      <c r="H2135" s="64"/>
      <c r="I2135" s="64">
        <v>195093.89</v>
      </c>
      <c r="J2135" s="64">
        <v>64190.7</v>
      </c>
      <c r="K2135" s="18">
        <f t="shared" si="391"/>
        <v>7240715.4100000001</v>
      </c>
      <c r="L2135" s="19">
        <f t="shared" si="392"/>
        <v>33250000</v>
      </c>
      <c r="M2135" s="20"/>
      <c r="N2135" s="20"/>
      <c r="O2135" s="81"/>
      <c r="P2135" s="55">
        <v>779709786</v>
      </c>
      <c r="Q2135" s="97">
        <v>44075</v>
      </c>
      <c r="R2135" s="14">
        <v>375000</v>
      </c>
      <c r="S2135" s="14">
        <v>480000</v>
      </c>
    </row>
    <row r="2136" spans="2:20" ht="12.75" hidden="1" customHeight="1" x14ac:dyDescent="0.25">
      <c r="B2136" s="16">
        <v>44141.125</v>
      </c>
      <c r="C2136" s="50" t="s">
        <v>2031</v>
      </c>
      <c r="D2136" s="34"/>
      <c r="E2136" s="37">
        <v>7500000</v>
      </c>
      <c r="F2136" s="37"/>
      <c r="G2136" s="37">
        <f t="shared" si="390"/>
        <v>7500000</v>
      </c>
      <c r="H2136" s="64"/>
      <c r="I2136" s="64">
        <v>195093.89</v>
      </c>
      <c r="J2136" s="64">
        <v>64190.7</v>
      </c>
      <c r="K2136" s="18">
        <f t="shared" si="391"/>
        <v>7240715.4100000001</v>
      </c>
      <c r="L2136" s="19">
        <f t="shared" si="392"/>
        <v>25750000</v>
      </c>
      <c r="M2136" s="20"/>
      <c r="N2136" s="20"/>
      <c r="O2136" s="81"/>
      <c r="P2136" s="55">
        <v>810188340</v>
      </c>
      <c r="Q2136" s="97">
        <v>44105</v>
      </c>
      <c r="R2136" s="14">
        <v>375000</v>
      </c>
      <c r="S2136" s="14">
        <v>480000</v>
      </c>
    </row>
    <row r="2137" spans="2:20" ht="12.75" hidden="1" customHeight="1" x14ac:dyDescent="0.25">
      <c r="B2137" s="16">
        <v>44174.125</v>
      </c>
      <c r="C2137" s="50" t="s">
        <v>2032</v>
      </c>
      <c r="D2137" s="34"/>
      <c r="E2137" s="37">
        <v>7500000</v>
      </c>
      <c r="F2137" s="37"/>
      <c r="G2137" s="37">
        <f t="shared" si="390"/>
        <v>7500000</v>
      </c>
      <c r="H2137" s="64"/>
      <c r="I2137" s="64">
        <v>195093.89</v>
      </c>
      <c r="J2137" s="64">
        <v>64190.7</v>
      </c>
      <c r="K2137" s="18">
        <f t="shared" si="391"/>
        <v>7240715.4100000001</v>
      </c>
      <c r="L2137" s="19">
        <f t="shared" si="392"/>
        <v>18250000</v>
      </c>
      <c r="M2137" s="20"/>
      <c r="N2137" s="20"/>
      <c r="O2137" s="81"/>
      <c r="P2137" s="21">
        <v>47286824</v>
      </c>
      <c r="Q2137" s="98">
        <v>44136</v>
      </c>
      <c r="R2137" s="14">
        <v>375000</v>
      </c>
      <c r="S2137" s="14">
        <v>480000</v>
      </c>
    </row>
    <row r="2138" spans="2:20" ht="12.75" hidden="1" customHeight="1" x14ac:dyDescent="0.25">
      <c r="B2138" s="16">
        <v>44193.125</v>
      </c>
      <c r="C2138" s="50" t="s">
        <v>2033</v>
      </c>
      <c r="D2138" s="34"/>
      <c r="E2138" s="37">
        <v>7500000</v>
      </c>
      <c r="F2138" s="37"/>
      <c r="G2138" s="37">
        <f t="shared" si="390"/>
        <v>7500000</v>
      </c>
      <c r="H2138" s="64"/>
      <c r="I2138" s="64">
        <v>195093.89</v>
      </c>
      <c r="J2138" s="64">
        <v>64190.7</v>
      </c>
      <c r="K2138" s="18">
        <f t="shared" si="391"/>
        <v>7240715.4100000001</v>
      </c>
      <c r="L2138" s="19">
        <f t="shared" si="392"/>
        <v>10750000</v>
      </c>
      <c r="M2138" s="20"/>
      <c r="N2138" s="20"/>
      <c r="O2138" s="81"/>
      <c r="P2138" s="55">
        <v>47350995</v>
      </c>
      <c r="Q2138" s="97">
        <v>44166</v>
      </c>
      <c r="R2138" s="14">
        <v>375000</v>
      </c>
      <c r="S2138" s="14">
        <v>480000</v>
      </c>
    </row>
    <row r="2139" spans="2:20" ht="12.75" hidden="1" customHeight="1" x14ac:dyDescent="0.25">
      <c r="B2139" s="16"/>
      <c r="C2139" s="50" t="s">
        <v>654</v>
      </c>
      <c r="D2139" s="34"/>
      <c r="E2139" s="37">
        <v>10750000</v>
      </c>
      <c r="F2139" s="37"/>
      <c r="G2139" s="37">
        <f t="shared" si="390"/>
        <v>10750000</v>
      </c>
      <c r="H2139" s="64"/>
      <c r="I2139" s="64"/>
      <c r="J2139" s="64"/>
      <c r="K2139" s="18">
        <f t="shared" si="391"/>
        <v>10750000</v>
      </c>
      <c r="L2139" s="19">
        <f t="shared" si="392"/>
        <v>0</v>
      </c>
      <c r="M2139" s="20"/>
      <c r="N2139" s="20"/>
      <c r="O2139" s="81"/>
      <c r="P2139" s="55"/>
      <c r="Q2139" s="97"/>
      <c r="R2139" s="14"/>
      <c r="S2139" s="14"/>
    </row>
    <row r="2140" spans="2:20" ht="15" hidden="1" x14ac:dyDescent="0.25">
      <c r="B2140" s="9" t="s">
        <v>2034</v>
      </c>
      <c r="C2140" s="10"/>
      <c r="D2140" s="11">
        <v>84000000</v>
      </c>
      <c r="E2140" s="11">
        <f>+D2140</f>
        <v>84000000</v>
      </c>
      <c r="F2140" s="11"/>
      <c r="G2140" s="11"/>
      <c r="H2140" s="11"/>
      <c r="I2140" s="11"/>
      <c r="J2140" s="11"/>
      <c r="K2140" s="11"/>
      <c r="L2140" s="11">
        <f>+D2140</f>
        <v>84000000</v>
      </c>
      <c r="M2140" s="12"/>
      <c r="N2140" s="12"/>
      <c r="P2140" s="55"/>
      <c r="Q2140" s="55"/>
      <c r="R2140" s="14"/>
      <c r="S2140" s="14"/>
    </row>
    <row r="2141" spans="2:20" ht="12.75" hidden="1" customHeight="1" x14ac:dyDescent="0.25">
      <c r="B2141" s="16">
        <v>43872.125</v>
      </c>
      <c r="C2141" s="50" t="s">
        <v>2035</v>
      </c>
      <c r="D2141" s="34"/>
      <c r="E2141" s="37">
        <v>6766667</v>
      </c>
      <c r="F2141" s="37"/>
      <c r="G2141" s="37">
        <f t="shared" ref="G2141:G2153" si="393">+E2141</f>
        <v>6766667</v>
      </c>
      <c r="H2141" s="64"/>
      <c r="I2141" s="64">
        <v>321543.71000000002</v>
      </c>
      <c r="J2141" s="64">
        <v>65366</v>
      </c>
      <c r="K2141" s="18">
        <f t="shared" ref="K2141:K2153" si="394">+G2141-H2141-I2141-J2141</f>
        <v>6379757.29</v>
      </c>
      <c r="L2141" s="19">
        <f t="shared" ref="L2141:L2153" si="395">+L2140-G2141</f>
        <v>77233333</v>
      </c>
      <c r="M2141" s="20"/>
      <c r="N2141" s="20"/>
      <c r="O2141" s="81">
        <f>+L2153-'[1]ANEXO 7 - PPTO VIG 2020'!T101</f>
        <v>0</v>
      </c>
      <c r="P2141" s="55">
        <v>39272688</v>
      </c>
      <c r="Q2141" s="97">
        <v>43800</v>
      </c>
      <c r="R2141" s="14">
        <v>312000</v>
      </c>
      <c r="S2141" s="14">
        <v>399400</v>
      </c>
    </row>
    <row r="2142" spans="2:20" ht="12.75" hidden="1" customHeight="1" x14ac:dyDescent="0.25">
      <c r="B2142" s="16">
        <v>43895.125</v>
      </c>
      <c r="C2142" s="50" t="s">
        <v>2036</v>
      </c>
      <c r="D2142" s="34"/>
      <c r="E2142" s="37">
        <v>7000000</v>
      </c>
      <c r="F2142" s="37"/>
      <c r="G2142" s="37">
        <f t="shared" si="393"/>
        <v>7000000</v>
      </c>
      <c r="H2142" s="64"/>
      <c r="I2142" s="64">
        <v>139233.91</v>
      </c>
      <c r="J2142" s="64">
        <v>59911.32</v>
      </c>
      <c r="K2142" s="18">
        <f t="shared" si="394"/>
        <v>6800854.7699999996</v>
      </c>
      <c r="L2142" s="19">
        <f t="shared" si="395"/>
        <v>70233333</v>
      </c>
      <c r="M2142" s="20"/>
      <c r="N2142" s="20"/>
      <c r="O2142" s="81"/>
      <c r="P2142" s="55">
        <v>40750313</v>
      </c>
      <c r="Q2142" s="97">
        <v>43831</v>
      </c>
      <c r="R2142" s="14">
        <v>350800</v>
      </c>
      <c r="S2142" s="14">
        <v>448000</v>
      </c>
    </row>
    <row r="2143" spans="2:20" ht="12.75" hidden="1" customHeight="1" x14ac:dyDescent="0.25">
      <c r="B2143" s="16">
        <v>43929.083333333336</v>
      </c>
      <c r="C2143" s="50" t="s">
        <v>2037</v>
      </c>
      <c r="D2143" s="34"/>
      <c r="E2143" s="37">
        <v>7000000</v>
      </c>
      <c r="F2143" s="37"/>
      <c r="G2143" s="37">
        <f t="shared" si="393"/>
        <v>7000000</v>
      </c>
      <c r="H2143" s="64"/>
      <c r="I2143" s="64">
        <v>238983.89</v>
      </c>
      <c r="J2143" s="64">
        <v>59911.32</v>
      </c>
      <c r="K2143" s="18">
        <f t="shared" si="394"/>
        <v>6701104.79</v>
      </c>
      <c r="L2143" s="19">
        <f t="shared" si="395"/>
        <v>63233333</v>
      </c>
      <c r="M2143" s="20"/>
      <c r="N2143" s="20"/>
      <c r="O2143" s="81"/>
      <c r="P2143" s="55">
        <v>40750320</v>
      </c>
      <c r="Q2143" s="97">
        <v>43862</v>
      </c>
      <c r="R2143" s="14">
        <v>350000</v>
      </c>
      <c r="S2143" s="14">
        <v>448000</v>
      </c>
      <c r="T2143" s="3">
        <f>84000000*40%</f>
        <v>33600000</v>
      </c>
    </row>
    <row r="2144" spans="2:20" ht="12.75" hidden="1" customHeight="1" x14ac:dyDescent="0.25">
      <c r="B2144" s="16">
        <v>43962.083333333336</v>
      </c>
      <c r="C2144" s="50" t="s">
        <v>2038</v>
      </c>
      <c r="D2144" s="34"/>
      <c r="E2144" s="37">
        <v>7000000</v>
      </c>
      <c r="F2144" s="37"/>
      <c r="G2144" s="37">
        <f t="shared" si="393"/>
        <v>7000000</v>
      </c>
      <c r="H2144" s="64"/>
      <c r="I2144" s="64">
        <v>238983.89</v>
      </c>
      <c r="J2144" s="64">
        <v>59911.32</v>
      </c>
      <c r="K2144" s="18">
        <f t="shared" si="394"/>
        <v>6701104.79</v>
      </c>
      <c r="L2144" s="19">
        <f t="shared" si="395"/>
        <v>56233333</v>
      </c>
      <c r="M2144" s="20"/>
      <c r="N2144" s="20"/>
      <c r="O2144" s="81"/>
      <c r="P2144" s="55">
        <v>40752873</v>
      </c>
      <c r="Q2144" s="97">
        <v>43891</v>
      </c>
      <c r="R2144" s="14">
        <v>350000</v>
      </c>
      <c r="S2144" s="14">
        <v>448000</v>
      </c>
      <c r="T2144" s="3">
        <f>+T2143*12.5%</f>
        <v>4200000</v>
      </c>
    </row>
    <row r="2145" spans="2:20" ht="12.75" hidden="1" customHeight="1" x14ac:dyDescent="0.25">
      <c r="B2145" s="16">
        <v>43994.083333333336</v>
      </c>
      <c r="C2145" s="50" t="s">
        <v>2039</v>
      </c>
      <c r="D2145" s="34"/>
      <c r="E2145" s="37">
        <v>7000000</v>
      </c>
      <c r="F2145" s="37"/>
      <c r="G2145" s="37">
        <f t="shared" si="393"/>
        <v>7000000</v>
      </c>
      <c r="H2145" s="64"/>
      <c r="I2145" s="64">
        <v>238983.89</v>
      </c>
      <c r="J2145" s="64">
        <v>59911.32</v>
      </c>
      <c r="K2145" s="18">
        <f t="shared" si="394"/>
        <v>6701104.79</v>
      </c>
      <c r="L2145" s="19">
        <f t="shared" si="395"/>
        <v>49233333</v>
      </c>
      <c r="M2145" s="20"/>
      <c r="N2145" s="20"/>
      <c r="O2145" s="81"/>
      <c r="P2145" s="55">
        <v>42629260</v>
      </c>
      <c r="Q2145" s="97">
        <v>43922</v>
      </c>
      <c r="R2145" s="14">
        <v>350000</v>
      </c>
      <c r="S2145" s="14">
        <v>448000</v>
      </c>
      <c r="T2145" s="3">
        <f>+T2143*16%</f>
        <v>5376000</v>
      </c>
    </row>
    <row r="2146" spans="2:20" ht="12.75" hidden="1" customHeight="1" x14ac:dyDescent="0.25">
      <c r="B2146" s="16">
        <v>44020.083333333336</v>
      </c>
      <c r="C2146" s="50" t="s">
        <v>2040</v>
      </c>
      <c r="D2146" s="34"/>
      <c r="E2146" s="37">
        <v>7000000</v>
      </c>
      <c r="F2146" s="37"/>
      <c r="G2146" s="37">
        <f t="shared" si="393"/>
        <v>7000000</v>
      </c>
      <c r="H2146" s="64"/>
      <c r="I2146" s="64">
        <v>290853.89</v>
      </c>
      <c r="J2146" s="64">
        <v>63427.56</v>
      </c>
      <c r="K2146" s="18">
        <f t="shared" si="394"/>
        <v>6645718.5500000007</v>
      </c>
      <c r="L2146" s="19">
        <f t="shared" si="395"/>
        <v>42233333</v>
      </c>
      <c r="M2146" s="20"/>
      <c r="N2146" s="20"/>
      <c r="O2146" s="81"/>
      <c r="P2146" s="55">
        <v>43235941</v>
      </c>
      <c r="Q2146" s="97">
        <v>43952</v>
      </c>
      <c r="R2146" s="14">
        <v>350000</v>
      </c>
      <c r="S2146" s="14">
        <v>84000</v>
      </c>
    </row>
    <row r="2147" spans="2:20" ht="12.75" hidden="1" customHeight="1" x14ac:dyDescent="0.25">
      <c r="B2147" s="16">
        <v>44047.083333333336</v>
      </c>
      <c r="C2147" s="50" t="s">
        <v>2041</v>
      </c>
      <c r="D2147" s="34"/>
      <c r="E2147" s="37">
        <v>7000000</v>
      </c>
      <c r="F2147" s="37"/>
      <c r="G2147" s="37">
        <f t="shared" si="393"/>
        <v>7000000</v>
      </c>
      <c r="H2147" s="64"/>
      <c r="I2147" s="64">
        <v>238983.89</v>
      </c>
      <c r="J2147" s="64">
        <v>59911.32</v>
      </c>
      <c r="K2147" s="18">
        <f t="shared" si="394"/>
        <v>6701104.79</v>
      </c>
      <c r="L2147" s="19">
        <f t="shared" si="395"/>
        <v>35233333</v>
      </c>
      <c r="M2147" s="20"/>
      <c r="N2147" s="20"/>
      <c r="O2147" s="81"/>
      <c r="P2147" s="55">
        <v>43956108</v>
      </c>
      <c r="Q2147" s="97">
        <v>43983</v>
      </c>
      <c r="R2147" s="14">
        <v>350000</v>
      </c>
      <c r="S2147" s="14">
        <v>448000</v>
      </c>
    </row>
    <row r="2148" spans="2:20" ht="12.75" hidden="1" customHeight="1" x14ac:dyDescent="0.25">
      <c r="B2148" s="16">
        <v>44077.083333333336</v>
      </c>
      <c r="C2148" s="50" t="s">
        <v>2042</v>
      </c>
      <c r="D2148" s="34"/>
      <c r="E2148" s="37">
        <v>7000000</v>
      </c>
      <c r="F2148" s="37"/>
      <c r="G2148" s="37">
        <f t="shared" si="393"/>
        <v>7000000</v>
      </c>
      <c r="H2148" s="64"/>
      <c r="I2148" s="64">
        <v>139233.91</v>
      </c>
      <c r="J2148" s="64">
        <v>59911.32</v>
      </c>
      <c r="K2148" s="18">
        <f t="shared" si="394"/>
        <v>6800854.7699999996</v>
      </c>
      <c r="L2148" s="19">
        <f t="shared" si="395"/>
        <v>28233333</v>
      </c>
      <c r="M2148" s="20"/>
      <c r="N2148" s="20"/>
      <c r="O2148" s="81"/>
      <c r="P2148" s="55">
        <v>44646299</v>
      </c>
      <c r="Q2148" s="97">
        <v>44013</v>
      </c>
      <c r="R2148" s="14">
        <v>350000</v>
      </c>
      <c r="S2148" s="14">
        <v>448000</v>
      </c>
    </row>
    <row r="2149" spans="2:20" ht="12.75" hidden="1" customHeight="1" x14ac:dyDescent="0.25">
      <c r="B2149" s="16">
        <v>44109.083333333336</v>
      </c>
      <c r="C2149" s="50" t="s">
        <v>2043</v>
      </c>
      <c r="D2149" s="34"/>
      <c r="E2149" s="37">
        <v>7000000</v>
      </c>
      <c r="F2149" s="37"/>
      <c r="G2149" s="37">
        <f t="shared" si="393"/>
        <v>7000000</v>
      </c>
      <c r="H2149" s="64"/>
      <c r="I2149" s="64">
        <v>139233.91</v>
      </c>
      <c r="J2149" s="64">
        <v>59911.32</v>
      </c>
      <c r="K2149" s="18">
        <f t="shared" si="394"/>
        <v>6800854.7699999996</v>
      </c>
      <c r="L2149" s="19">
        <f t="shared" si="395"/>
        <v>21233333</v>
      </c>
      <c r="M2149" s="20"/>
      <c r="N2149" s="20"/>
      <c r="O2149" s="81"/>
      <c r="P2149" s="55">
        <v>45171036</v>
      </c>
      <c r="Q2149" s="97">
        <v>44044</v>
      </c>
      <c r="R2149" s="14">
        <v>350000</v>
      </c>
      <c r="S2149" s="14">
        <v>448000</v>
      </c>
    </row>
    <row r="2150" spans="2:20" ht="12.75" hidden="1" customHeight="1" x14ac:dyDescent="0.25">
      <c r="B2150" s="16">
        <v>44144.125</v>
      </c>
      <c r="C2150" s="50" t="s">
        <v>2044</v>
      </c>
      <c r="D2150" s="34"/>
      <c r="E2150" s="37">
        <v>7000000</v>
      </c>
      <c r="F2150" s="37"/>
      <c r="G2150" s="37">
        <f t="shared" si="393"/>
        <v>7000000</v>
      </c>
      <c r="H2150" s="64"/>
      <c r="I2150" s="64">
        <v>139233.91</v>
      </c>
      <c r="J2150" s="64">
        <v>59911.32</v>
      </c>
      <c r="K2150" s="18">
        <f t="shared" si="394"/>
        <v>6800854.7699999996</v>
      </c>
      <c r="L2150" s="19">
        <f t="shared" si="395"/>
        <v>14233333</v>
      </c>
      <c r="M2150" s="20"/>
      <c r="N2150" s="20"/>
      <c r="O2150" s="81"/>
      <c r="P2150" s="55">
        <v>45826149</v>
      </c>
      <c r="Q2150" s="97">
        <v>44075</v>
      </c>
      <c r="R2150" s="14">
        <v>350000</v>
      </c>
      <c r="S2150" s="14">
        <v>448000</v>
      </c>
    </row>
    <row r="2151" spans="2:20" ht="12.75" hidden="1" customHeight="1" x14ac:dyDescent="0.25">
      <c r="B2151" s="16">
        <v>44174.125</v>
      </c>
      <c r="C2151" s="50" t="s">
        <v>2045</v>
      </c>
      <c r="D2151" s="34"/>
      <c r="E2151" s="37">
        <v>7000000</v>
      </c>
      <c r="F2151" s="37"/>
      <c r="G2151" s="37">
        <f t="shared" si="393"/>
        <v>7000000</v>
      </c>
      <c r="H2151" s="64"/>
      <c r="I2151" s="64">
        <v>139233.91</v>
      </c>
      <c r="J2151" s="64">
        <v>59911.32</v>
      </c>
      <c r="K2151" s="18">
        <f t="shared" si="394"/>
        <v>6800854.7699999996</v>
      </c>
      <c r="L2151" s="19">
        <f t="shared" si="395"/>
        <v>7233333</v>
      </c>
      <c r="M2151" s="20"/>
      <c r="N2151" s="20"/>
      <c r="O2151" s="81"/>
      <c r="P2151" s="55">
        <v>46526768</v>
      </c>
      <c r="Q2151" s="97">
        <v>44105</v>
      </c>
      <c r="R2151" s="14">
        <v>350000</v>
      </c>
      <c r="S2151" s="14">
        <v>448000</v>
      </c>
    </row>
    <row r="2152" spans="2:20" ht="12.75" hidden="1" customHeight="1" x14ac:dyDescent="0.25">
      <c r="B2152" s="16">
        <v>44187.125</v>
      </c>
      <c r="C2152" s="50" t="s">
        <v>2046</v>
      </c>
      <c r="D2152" s="34"/>
      <c r="E2152" s="37">
        <v>7000000</v>
      </c>
      <c r="F2152" s="37"/>
      <c r="G2152" s="37">
        <f t="shared" si="393"/>
        <v>7000000</v>
      </c>
      <c r="H2152" s="64"/>
      <c r="I2152" s="64">
        <v>238983.89</v>
      </c>
      <c r="J2152" s="64">
        <v>59911.32</v>
      </c>
      <c r="K2152" s="18">
        <f t="shared" si="394"/>
        <v>6701104.79</v>
      </c>
      <c r="L2152" s="19">
        <f t="shared" si="395"/>
        <v>233333</v>
      </c>
      <c r="M2152" s="20"/>
      <c r="N2152" s="20"/>
      <c r="O2152" s="81"/>
      <c r="P2152" s="55">
        <v>47225231</v>
      </c>
      <c r="Q2152" s="97">
        <v>44136</v>
      </c>
      <c r="R2152" s="14">
        <v>350000</v>
      </c>
      <c r="S2152" s="14">
        <v>448000</v>
      </c>
    </row>
    <row r="2153" spans="2:20" ht="12.75" hidden="1" customHeight="1" x14ac:dyDescent="0.25">
      <c r="B2153" s="16"/>
      <c r="C2153" s="50" t="s">
        <v>2047</v>
      </c>
      <c r="D2153" s="34"/>
      <c r="E2153" s="37">
        <v>233333</v>
      </c>
      <c r="F2153" s="37"/>
      <c r="G2153" s="37">
        <f t="shared" si="393"/>
        <v>233333</v>
      </c>
      <c r="H2153" s="64"/>
      <c r="I2153" s="64"/>
      <c r="J2153" s="64"/>
      <c r="K2153" s="18">
        <f t="shared" si="394"/>
        <v>233333</v>
      </c>
      <c r="L2153" s="19">
        <f t="shared" si="395"/>
        <v>0</v>
      </c>
      <c r="M2153" s="20"/>
      <c r="N2153" s="20"/>
      <c r="O2153" s="81"/>
      <c r="P2153" s="55">
        <v>47278349</v>
      </c>
      <c r="Q2153" s="97">
        <v>44166</v>
      </c>
      <c r="R2153" s="14">
        <v>350000</v>
      </c>
      <c r="S2153" s="14">
        <v>448000</v>
      </c>
    </row>
    <row r="2154" spans="2:20" ht="15" hidden="1" x14ac:dyDescent="0.25">
      <c r="B2154" s="9" t="s">
        <v>2048</v>
      </c>
      <c r="C2154" s="10"/>
      <c r="D2154" s="11">
        <v>135840000</v>
      </c>
      <c r="E2154" s="11">
        <f>+D2154</f>
        <v>135840000</v>
      </c>
      <c r="F2154" s="11"/>
      <c r="G2154" s="11"/>
      <c r="H2154" s="11"/>
      <c r="I2154" s="11"/>
      <c r="J2154" s="11"/>
      <c r="K2154" s="11"/>
      <c r="L2154" s="11">
        <f>+D2154</f>
        <v>135840000</v>
      </c>
      <c r="M2154" s="12"/>
      <c r="N2154" s="12"/>
      <c r="P2154" s="55"/>
      <c r="Q2154" s="55"/>
      <c r="R2154" s="14"/>
      <c r="S2154" s="14"/>
    </row>
    <row r="2155" spans="2:20" ht="12.75" hidden="1" customHeight="1" x14ac:dyDescent="0.25">
      <c r="B2155" s="16">
        <v>43873.125</v>
      </c>
      <c r="C2155" s="50" t="s">
        <v>2049</v>
      </c>
      <c r="D2155" s="34"/>
      <c r="E2155" s="37">
        <v>9433333</v>
      </c>
      <c r="F2155" s="37"/>
      <c r="G2155" s="37">
        <f t="shared" ref="G2155:G2167" si="396">+E2155</f>
        <v>9433333</v>
      </c>
      <c r="H2155" s="64"/>
      <c r="I2155" s="64">
        <v>603428.93999999994</v>
      </c>
      <c r="J2155" s="64">
        <v>80737.63</v>
      </c>
      <c r="K2155" s="18">
        <f t="shared" ref="K2155:K2167" si="397">+G2155-H2155-I2155-J2155</f>
        <v>8749166.4299999997</v>
      </c>
      <c r="L2155" s="19">
        <f t="shared" ref="L2155:L2167" si="398">+L2154-G2155</f>
        <v>126406667</v>
      </c>
      <c r="M2155" s="20"/>
      <c r="N2155" s="20"/>
      <c r="O2155" s="81">
        <f>+L2167-'[1]ANEXO 7 - PPTO VIG 2020'!T100</f>
        <v>0</v>
      </c>
      <c r="P2155" s="55">
        <v>39324393</v>
      </c>
      <c r="Q2155" s="97">
        <v>43800</v>
      </c>
      <c r="R2155" s="14">
        <v>500000</v>
      </c>
      <c r="S2155" s="14">
        <v>680000</v>
      </c>
    </row>
    <row r="2156" spans="2:20" ht="12.75" hidden="1" customHeight="1" x14ac:dyDescent="0.25">
      <c r="B2156" s="16">
        <v>43899.083333333336</v>
      </c>
      <c r="C2156" s="50" t="s">
        <v>2050</v>
      </c>
      <c r="D2156" s="34"/>
      <c r="E2156" s="37">
        <v>11320000</v>
      </c>
      <c r="F2156" s="37"/>
      <c r="G2156" s="37">
        <f t="shared" si="396"/>
        <v>11320000</v>
      </c>
      <c r="H2156" s="64"/>
      <c r="I2156" s="64">
        <v>714569.39</v>
      </c>
      <c r="J2156" s="64">
        <v>96885.16</v>
      </c>
      <c r="K2156" s="18">
        <f t="shared" si="397"/>
        <v>10508545.449999999</v>
      </c>
      <c r="L2156" s="19">
        <f t="shared" si="398"/>
        <v>115086667</v>
      </c>
      <c r="M2156" s="20"/>
      <c r="N2156" s="20"/>
      <c r="O2156" s="81"/>
      <c r="P2156" s="55">
        <v>39868572</v>
      </c>
      <c r="Q2156" s="97">
        <v>43831</v>
      </c>
      <c r="R2156" s="14">
        <v>572200</v>
      </c>
      <c r="S2156" s="14">
        <v>778400</v>
      </c>
    </row>
    <row r="2157" spans="2:20" ht="12.75" hidden="1" customHeight="1" x14ac:dyDescent="0.25">
      <c r="B2157" s="16">
        <v>43927.083333333336</v>
      </c>
      <c r="C2157" s="50" t="s">
        <v>2051</v>
      </c>
      <c r="D2157" s="34"/>
      <c r="E2157" s="37">
        <v>11320000</v>
      </c>
      <c r="F2157" s="37"/>
      <c r="G2157" s="37">
        <f t="shared" si="396"/>
        <v>11320000</v>
      </c>
      <c r="H2157" s="64"/>
      <c r="I2157" s="64">
        <v>952289.42</v>
      </c>
      <c r="J2157" s="64">
        <v>96885.16</v>
      </c>
      <c r="K2157" s="18">
        <f t="shared" si="397"/>
        <v>10270825.42</v>
      </c>
      <c r="L2157" s="19">
        <f t="shared" si="398"/>
        <v>103766667</v>
      </c>
      <c r="M2157" s="20"/>
      <c r="N2157" s="20"/>
      <c r="O2157" s="81"/>
      <c r="P2157" s="55">
        <v>41469657</v>
      </c>
      <c r="Q2157" s="97">
        <v>43862</v>
      </c>
      <c r="R2157" s="14">
        <v>574200</v>
      </c>
      <c r="S2157" s="14">
        <v>781200</v>
      </c>
    </row>
    <row r="2158" spans="2:20" ht="12.75" hidden="1" customHeight="1" x14ac:dyDescent="0.25">
      <c r="B2158" s="16">
        <v>43958.083333333336</v>
      </c>
      <c r="C2158" s="50" t="s">
        <v>2052</v>
      </c>
      <c r="D2158" s="34"/>
      <c r="E2158" s="37">
        <v>11320000</v>
      </c>
      <c r="F2158" s="37"/>
      <c r="G2158" s="37">
        <f t="shared" si="396"/>
        <v>11320000</v>
      </c>
      <c r="H2158" s="64"/>
      <c r="I2158" s="64">
        <v>1872677.41</v>
      </c>
      <c r="J2158" s="64">
        <v>96885.16</v>
      </c>
      <c r="K2158" s="18">
        <f t="shared" si="397"/>
        <v>9350437.4299999997</v>
      </c>
      <c r="L2158" s="19">
        <f t="shared" si="398"/>
        <v>92446667</v>
      </c>
      <c r="M2158" s="20"/>
      <c r="N2158" s="20"/>
      <c r="O2158" s="81"/>
      <c r="P2158" s="55">
        <v>41469657</v>
      </c>
      <c r="Q2158" s="97">
        <v>43862</v>
      </c>
      <c r="R2158" s="14">
        <v>574200</v>
      </c>
      <c r="S2158" s="14">
        <v>781200</v>
      </c>
    </row>
    <row r="2159" spans="2:20" ht="12.75" hidden="1" customHeight="1" x14ac:dyDescent="0.25">
      <c r="B2159" s="16">
        <v>43986.083333333336</v>
      </c>
      <c r="C2159" s="50" t="s">
        <v>2053</v>
      </c>
      <c r="D2159" s="34"/>
      <c r="E2159" s="37">
        <v>11320000</v>
      </c>
      <c r="F2159" s="37"/>
      <c r="G2159" s="37">
        <f t="shared" si="396"/>
        <v>11320000</v>
      </c>
      <c r="H2159" s="64"/>
      <c r="I2159" s="64">
        <f>1428000+444677.41</f>
        <v>1872677.41</v>
      </c>
      <c r="J2159" s="64">
        <v>96885.16</v>
      </c>
      <c r="K2159" s="18">
        <f t="shared" si="397"/>
        <v>9350437.4299999997</v>
      </c>
      <c r="L2159" s="19">
        <f t="shared" si="398"/>
        <v>81126667</v>
      </c>
      <c r="M2159" s="20"/>
      <c r="N2159" s="20"/>
      <c r="O2159" s="81"/>
      <c r="P2159" s="55">
        <v>42524283</v>
      </c>
      <c r="Q2159" s="97">
        <v>43922</v>
      </c>
      <c r="R2159" s="14">
        <v>566000</v>
      </c>
      <c r="S2159" s="14">
        <v>769900</v>
      </c>
    </row>
    <row r="2160" spans="2:20" ht="12.75" hidden="1" customHeight="1" x14ac:dyDescent="0.25">
      <c r="B2160" s="16">
        <v>44015.083333333336</v>
      </c>
      <c r="C2160" s="50" t="s">
        <v>2054</v>
      </c>
      <c r="D2160" s="34"/>
      <c r="E2160" s="37">
        <v>11320000</v>
      </c>
      <c r="F2160" s="37"/>
      <c r="G2160" s="37">
        <f t="shared" si="396"/>
        <v>11320000</v>
      </c>
      <c r="H2160" s="64"/>
      <c r="I2160" s="64">
        <v>1872677.41</v>
      </c>
      <c r="J2160" s="64">
        <v>96885.16</v>
      </c>
      <c r="K2160" s="18">
        <f t="shared" si="397"/>
        <v>9350437.4299999997</v>
      </c>
      <c r="L2160" s="19">
        <f t="shared" si="398"/>
        <v>69806667</v>
      </c>
      <c r="M2160" s="20"/>
      <c r="N2160" s="20"/>
      <c r="O2160" s="81"/>
      <c r="P2160" s="55">
        <v>43231574</v>
      </c>
      <c r="Q2160" s="97">
        <v>43952</v>
      </c>
      <c r="R2160" s="14">
        <v>566000</v>
      </c>
      <c r="S2160" s="14">
        <v>769900</v>
      </c>
    </row>
    <row r="2161" spans="2:19" ht="12.75" hidden="1" customHeight="1" x14ac:dyDescent="0.25">
      <c r="B2161" s="16">
        <v>44047.083333333336</v>
      </c>
      <c r="C2161" s="50" t="s">
        <v>2055</v>
      </c>
      <c r="D2161" s="34"/>
      <c r="E2161" s="37">
        <v>11320000</v>
      </c>
      <c r="F2161" s="37"/>
      <c r="G2161" s="37">
        <f t="shared" si="396"/>
        <v>11320000</v>
      </c>
      <c r="H2161" s="64"/>
      <c r="I2161" s="64">
        <v>714569.39</v>
      </c>
      <c r="J2161" s="64">
        <v>96885.16</v>
      </c>
      <c r="K2161" s="18">
        <f t="shared" si="397"/>
        <v>10508545.449999999</v>
      </c>
      <c r="L2161" s="19">
        <f t="shared" si="398"/>
        <v>58486667</v>
      </c>
      <c r="M2161" s="20"/>
      <c r="N2161" s="20"/>
      <c r="O2161" s="81"/>
      <c r="P2161" s="55">
        <v>43814716</v>
      </c>
      <c r="Q2161" s="97">
        <v>43983</v>
      </c>
      <c r="R2161" s="14">
        <v>566000</v>
      </c>
      <c r="S2161" s="14">
        <v>769900</v>
      </c>
    </row>
    <row r="2162" spans="2:19" ht="12.75" hidden="1" customHeight="1" x14ac:dyDescent="0.25">
      <c r="B2162" s="16">
        <v>44077.083333333336</v>
      </c>
      <c r="C2162" s="50" t="s">
        <v>2056</v>
      </c>
      <c r="D2162" s="34"/>
      <c r="E2162" s="37">
        <v>11320000</v>
      </c>
      <c r="F2162" s="37"/>
      <c r="G2162" s="37">
        <f t="shared" si="396"/>
        <v>11320000</v>
      </c>
      <c r="H2162" s="64"/>
      <c r="I2162" s="64">
        <v>714544.18</v>
      </c>
      <c r="J2162" s="64">
        <v>96885.16</v>
      </c>
      <c r="K2162" s="18">
        <f t="shared" si="397"/>
        <v>10508570.66</v>
      </c>
      <c r="L2162" s="19">
        <f t="shared" si="398"/>
        <v>47166667</v>
      </c>
      <c r="M2162" s="20"/>
      <c r="N2162" s="20"/>
      <c r="O2162" s="81"/>
      <c r="P2162" s="55">
        <v>44512891</v>
      </c>
      <c r="Q2162" s="97">
        <v>44013</v>
      </c>
      <c r="R2162" s="14">
        <v>566000</v>
      </c>
      <c r="S2162" s="14">
        <v>769900</v>
      </c>
    </row>
    <row r="2163" spans="2:19" ht="12.75" hidden="1" customHeight="1" x14ac:dyDescent="0.25">
      <c r="B2163" s="16">
        <v>44109.083333333336</v>
      </c>
      <c r="C2163" s="50" t="s">
        <v>2057</v>
      </c>
      <c r="D2163" s="34"/>
      <c r="E2163" s="37">
        <v>11320000</v>
      </c>
      <c r="F2163" s="37"/>
      <c r="G2163" s="37">
        <f t="shared" si="396"/>
        <v>11320000</v>
      </c>
      <c r="H2163" s="64"/>
      <c r="I2163" s="64">
        <v>714569.39</v>
      </c>
      <c r="J2163" s="64">
        <v>96885.16</v>
      </c>
      <c r="K2163" s="18">
        <f t="shared" si="397"/>
        <v>10508545.449999999</v>
      </c>
      <c r="L2163" s="19">
        <f t="shared" si="398"/>
        <v>35846667</v>
      </c>
      <c r="M2163" s="20"/>
      <c r="N2163" s="20"/>
      <c r="O2163" s="81"/>
      <c r="P2163" s="55">
        <v>45188047</v>
      </c>
      <c r="Q2163" s="97">
        <v>44044</v>
      </c>
      <c r="R2163" s="14">
        <v>566000</v>
      </c>
      <c r="S2163" s="14">
        <v>769900</v>
      </c>
    </row>
    <row r="2164" spans="2:19" ht="12.75" hidden="1" customHeight="1" x14ac:dyDescent="0.25">
      <c r="B2164" s="16">
        <v>44141.125</v>
      </c>
      <c r="C2164" s="50" t="s">
        <v>2058</v>
      </c>
      <c r="D2164" s="34"/>
      <c r="E2164" s="37">
        <v>11320000</v>
      </c>
      <c r="F2164" s="37"/>
      <c r="G2164" s="37">
        <f t="shared" si="396"/>
        <v>11320000</v>
      </c>
      <c r="H2164" s="64"/>
      <c r="I2164" s="64">
        <v>714569.39</v>
      </c>
      <c r="J2164" s="64">
        <v>96885.16</v>
      </c>
      <c r="K2164" s="18">
        <f t="shared" si="397"/>
        <v>10508545.449999999</v>
      </c>
      <c r="L2164" s="19">
        <f t="shared" si="398"/>
        <v>24526667</v>
      </c>
      <c r="M2164" s="20"/>
      <c r="N2164" s="20"/>
      <c r="O2164" s="81"/>
      <c r="P2164" s="55">
        <v>763769478</v>
      </c>
      <c r="Q2164" s="97">
        <v>44075</v>
      </c>
      <c r="R2164" s="14">
        <v>566000</v>
      </c>
      <c r="S2164" s="14">
        <v>769900</v>
      </c>
    </row>
    <row r="2165" spans="2:19" ht="12.75" hidden="1" customHeight="1" x14ac:dyDescent="0.25">
      <c r="B2165" s="16">
        <v>44169.125</v>
      </c>
      <c r="C2165" s="50" t="s">
        <v>2059</v>
      </c>
      <c r="D2165" s="34"/>
      <c r="E2165" s="37">
        <v>11320000</v>
      </c>
      <c r="F2165" s="37"/>
      <c r="G2165" s="37">
        <f t="shared" si="396"/>
        <v>11320000</v>
      </c>
      <c r="H2165" s="64"/>
      <c r="I2165" s="64">
        <v>714569.39</v>
      </c>
      <c r="J2165" s="64">
        <v>96885.16</v>
      </c>
      <c r="K2165" s="18">
        <f t="shared" si="397"/>
        <v>10508545.449999999</v>
      </c>
      <c r="L2165" s="19">
        <f t="shared" si="398"/>
        <v>13206667</v>
      </c>
      <c r="M2165" s="20"/>
      <c r="N2165" s="20"/>
      <c r="O2165" s="81"/>
      <c r="P2165" s="55">
        <v>792606663</v>
      </c>
      <c r="Q2165" s="97">
        <v>44105</v>
      </c>
      <c r="R2165" s="14">
        <v>566000</v>
      </c>
      <c r="S2165" s="14">
        <v>769900</v>
      </c>
    </row>
    <row r="2166" spans="2:19" ht="12.75" hidden="1" customHeight="1" x14ac:dyDescent="0.25">
      <c r="B2166" s="16">
        <v>44186.125</v>
      </c>
      <c r="C2166" s="50" t="s">
        <v>2060</v>
      </c>
      <c r="D2166" s="34"/>
      <c r="E2166" s="37">
        <v>11320000</v>
      </c>
      <c r="F2166" s="37"/>
      <c r="G2166" s="37">
        <f t="shared" si="396"/>
        <v>11320000</v>
      </c>
      <c r="H2166" s="64"/>
      <c r="I2166" s="64">
        <v>714569.39</v>
      </c>
      <c r="J2166" s="64">
        <v>96885.16</v>
      </c>
      <c r="K2166" s="18">
        <f t="shared" si="397"/>
        <v>10508545.449999999</v>
      </c>
      <c r="L2166" s="19">
        <f t="shared" si="398"/>
        <v>1886667</v>
      </c>
      <c r="M2166" s="20"/>
      <c r="N2166" s="20"/>
      <c r="O2166" s="81"/>
      <c r="P2166" s="55">
        <v>471776228</v>
      </c>
      <c r="Q2166" s="97">
        <v>44136</v>
      </c>
      <c r="R2166" s="14">
        <v>566000</v>
      </c>
      <c r="S2166" s="14">
        <v>769900</v>
      </c>
    </row>
    <row r="2167" spans="2:19" ht="12.75" hidden="1" customHeight="1" x14ac:dyDescent="0.25">
      <c r="B2167" s="16"/>
      <c r="C2167" s="50" t="s">
        <v>2047</v>
      </c>
      <c r="D2167" s="34"/>
      <c r="E2167" s="37">
        <v>1886667</v>
      </c>
      <c r="F2167" s="37"/>
      <c r="G2167" s="37">
        <f t="shared" si="396"/>
        <v>1886667</v>
      </c>
      <c r="H2167" s="64"/>
      <c r="I2167" s="64"/>
      <c r="J2167" s="64"/>
      <c r="K2167" s="18">
        <f t="shared" si="397"/>
        <v>1886667</v>
      </c>
      <c r="L2167" s="19">
        <f t="shared" si="398"/>
        <v>0</v>
      </c>
      <c r="M2167" s="20"/>
      <c r="N2167" s="20"/>
      <c r="O2167" s="81"/>
      <c r="P2167" s="55">
        <v>47175989</v>
      </c>
      <c r="Q2167" s="97">
        <v>44166</v>
      </c>
      <c r="R2167" s="14">
        <v>566000</v>
      </c>
      <c r="S2167" s="14">
        <v>769900</v>
      </c>
    </row>
    <row r="2168" spans="2:19" ht="15" hidden="1" x14ac:dyDescent="0.25">
      <c r="B2168" s="9" t="s">
        <v>2061</v>
      </c>
      <c r="C2168" s="10"/>
      <c r="D2168" s="11">
        <v>97010000</v>
      </c>
      <c r="E2168" s="11">
        <f>+D2168</f>
        <v>97010000</v>
      </c>
      <c r="F2168" s="11"/>
      <c r="G2168" s="11"/>
      <c r="H2168" s="11"/>
      <c r="I2168" s="11"/>
      <c r="J2168" s="11"/>
      <c r="K2168" s="11"/>
      <c r="L2168" s="11">
        <f>+D2168</f>
        <v>97010000</v>
      </c>
      <c r="M2168" s="12"/>
      <c r="N2168" s="12"/>
      <c r="P2168" s="55"/>
      <c r="Q2168" s="55"/>
      <c r="R2168" s="14"/>
      <c r="S2168" s="14"/>
    </row>
    <row r="2169" spans="2:19" ht="12.75" hidden="1" customHeight="1" x14ac:dyDescent="0.25">
      <c r="B2169" s="16">
        <v>43873.125</v>
      </c>
      <c r="C2169" s="50" t="s">
        <v>2062</v>
      </c>
      <c r="D2169" s="34"/>
      <c r="E2169" s="37">
        <v>1283333</v>
      </c>
      <c r="F2169" s="37"/>
      <c r="G2169" s="37">
        <f t="shared" ref="G2169:G2181" si="399">+E2169</f>
        <v>1283333</v>
      </c>
      <c r="H2169" s="64"/>
      <c r="I2169" s="64"/>
      <c r="J2169" s="64">
        <v>10983.74</v>
      </c>
      <c r="K2169" s="18">
        <f t="shared" ref="K2169:K2181" si="400">+G2169-H2169-I2169-J2169</f>
        <v>1272349.26</v>
      </c>
      <c r="L2169" s="19">
        <f t="shared" ref="L2169:L2181" si="401">+L2168-G2169</f>
        <v>95726667</v>
      </c>
      <c r="M2169" s="20"/>
      <c r="N2169" s="20"/>
      <c r="O2169" s="81">
        <f>+L2181-'[1]ANEXO 7 - PPTO VIG 2020'!T37</f>
        <v>0</v>
      </c>
      <c r="P2169" s="55">
        <v>39421633</v>
      </c>
      <c r="Q2169" s="97">
        <v>43800</v>
      </c>
      <c r="R2169" s="14">
        <v>364000</v>
      </c>
      <c r="S2169" s="14">
        <v>466000</v>
      </c>
    </row>
    <row r="2170" spans="2:19" ht="12.75" hidden="1" customHeight="1" x14ac:dyDescent="0.25">
      <c r="B2170" s="16">
        <v>43895.125</v>
      </c>
      <c r="C2170" s="50" t="s">
        <v>2063</v>
      </c>
      <c r="D2170" s="34"/>
      <c r="E2170" s="37">
        <v>7700000</v>
      </c>
      <c r="F2170" s="37"/>
      <c r="G2170" s="37">
        <f t="shared" si="399"/>
        <v>7700000</v>
      </c>
      <c r="H2170" s="64"/>
      <c r="I2170" s="64">
        <v>327162.92</v>
      </c>
      <c r="J2170" s="64">
        <v>65902.45</v>
      </c>
      <c r="K2170" s="18">
        <f t="shared" si="400"/>
        <v>7306934.6299999999</v>
      </c>
      <c r="L2170" s="19">
        <f t="shared" si="401"/>
        <v>88026667</v>
      </c>
      <c r="M2170" s="20"/>
      <c r="N2170" s="20"/>
      <c r="O2170" s="81"/>
      <c r="P2170" s="55">
        <v>40845673</v>
      </c>
      <c r="Q2170" s="97">
        <v>43831</v>
      </c>
      <c r="R2170" s="14">
        <v>385000</v>
      </c>
      <c r="S2170" s="14">
        <v>492800</v>
      </c>
    </row>
    <row r="2171" spans="2:19" ht="12.75" hidden="1" customHeight="1" x14ac:dyDescent="0.25">
      <c r="B2171" s="16">
        <v>43937.083333333336</v>
      </c>
      <c r="C2171" s="50" t="s">
        <v>2064</v>
      </c>
      <c r="D2171" s="34"/>
      <c r="E2171" s="37">
        <v>7700000</v>
      </c>
      <c r="F2171" s="37"/>
      <c r="G2171" s="37">
        <f t="shared" si="399"/>
        <v>7700000</v>
      </c>
      <c r="H2171" s="64"/>
      <c r="I2171" s="64">
        <v>327162.92</v>
      </c>
      <c r="J2171" s="64">
        <v>65902.45</v>
      </c>
      <c r="K2171" s="18">
        <f t="shared" si="400"/>
        <v>7306934.6299999999</v>
      </c>
      <c r="L2171" s="19">
        <f t="shared" si="401"/>
        <v>80326667</v>
      </c>
      <c r="M2171" s="20"/>
      <c r="N2171" s="20"/>
      <c r="O2171" s="81"/>
      <c r="P2171" s="55">
        <v>41593077</v>
      </c>
      <c r="Q2171" s="97">
        <v>43891</v>
      </c>
      <c r="R2171" s="14">
        <v>385000</v>
      </c>
      <c r="S2171" s="14">
        <v>492800</v>
      </c>
    </row>
    <row r="2172" spans="2:19" ht="12.75" hidden="1" customHeight="1" x14ac:dyDescent="0.25">
      <c r="B2172" s="16">
        <v>43959.083333333336</v>
      </c>
      <c r="C2172" s="50" t="s">
        <v>2065</v>
      </c>
      <c r="D2172" s="34"/>
      <c r="E2172" s="37">
        <v>7700000</v>
      </c>
      <c r="F2172" s="37"/>
      <c r="G2172" s="37">
        <f t="shared" si="399"/>
        <v>7700000</v>
      </c>
      <c r="H2172" s="64"/>
      <c r="I2172" s="64">
        <v>327162.92</v>
      </c>
      <c r="J2172" s="64">
        <v>65902.45</v>
      </c>
      <c r="K2172" s="18">
        <f t="shared" si="400"/>
        <v>7306934.6299999999</v>
      </c>
      <c r="L2172" s="19">
        <f t="shared" si="401"/>
        <v>72626667</v>
      </c>
      <c r="M2172" s="20"/>
      <c r="N2172" s="20"/>
      <c r="O2172" s="81"/>
      <c r="P2172" s="55">
        <v>42973628</v>
      </c>
      <c r="Q2172" s="97">
        <v>43922</v>
      </c>
      <c r="R2172" s="14">
        <v>385000</v>
      </c>
      <c r="S2172" s="14">
        <v>492800</v>
      </c>
    </row>
    <row r="2173" spans="2:19" ht="12.75" hidden="1" customHeight="1" x14ac:dyDescent="0.25">
      <c r="B2173" s="16">
        <v>43998.083333333336</v>
      </c>
      <c r="C2173" s="50" t="s">
        <v>2066</v>
      </c>
      <c r="D2173" s="34"/>
      <c r="E2173" s="37">
        <v>7700000</v>
      </c>
      <c r="F2173" s="37"/>
      <c r="G2173" s="37">
        <f t="shared" si="399"/>
        <v>7700000</v>
      </c>
      <c r="H2173" s="64"/>
      <c r="I2173" s="64">
        <v>327162.92</v>
      </c>
      <c r="J2173" s="64">
        <v>65902.45</v>
      </c>
      <c r="K2173" s="18">
        <f t="shared" si="400"/>
        <v>7306934.6299999999</v>
      </c>
      <c r="L2173" s="19">
        <f t="shared" si="401"/>
        <v>64926667</v>
      </c>
      <c r="M2173" s="20"/>
      <c r="N2173" s="20"/>
      <c r="O2173" s="81"/>
      <c r="P2173" s="55">
        <v>42928935</v>
      </c>
      <c r="Q2173" s="97">
        <v>43952</v>
      </c>
      <c r="R2173" s="14">
        <v>385000</v>
      </c>
      <c r="S2173" s="14">
        <v>492800</v>
      </c>
    </row>
    <row r="2174" spans="2:19" ht="12.75" hidden="1" customHeight="1" x14ac:dyDescent="0.25">
      <c r="B2174" s="16">
        <v>44020.083333333336</v>
      </c>
      <c r="C2174" s="50" t="s">
        <v>2067</v>
      </c>
      <c r="D2174" s="34"/>
      <c r="E2174" s="37">
        <v>7700000</v>
      </c>
      <c r="F2174" s="37"/>
      <c r="G2174" s="37">
        <f t="shared" si="399"/>
        <v>7700000</v>
      </c>
      <c r="H2174" s="64"/>
      <c r="I2174" s="64">
        <v>327162.92</v>
      </c>
      <c r="J2174" s="64">
        <v>65902.45</v>
      </c>
      <c r="K2174" s="18">
        <f t="shared" si="400"/>
        <v>7306934.6299999999</v>
      </c>
      <c r="L2174" s="19">
        <f t="shared" si="401"/>
        <v>57226667</v>
      </c>
      <c r="M2174" s="20"/>
      <c r="N2174" s="20"/>
      <c r="O2174" s="81"/>
      <c r="P2174" s="55">
        <v>43601715</v>
      </c>
      <c r="Q2174" s="97">
        <v>43983</v>
      </c>
      <c r="R2174" s="14">
        <v>385000</v>
      </c>
      <c r="S2174" s="14">
        <v>492800</v>
      </c>
    </row>
    <row r="2175" spans="2:19" ht="12.75" hidden="1" customHeight="1" x14ac:dyDescent="0.25">
      <c r="B2175" s="16">
        <v>44055.083333333336</v>
      </c>
      <c r="C2175" s="50" t="s">
        <v>2068</v>
      </c>
      <c r="D2175" s="34"/>
      <c r="E2175" s="37">
        <v>7700000</v>
      </c>
      <c r="F2175" s="37"/>
      <c r="G2175" s="37">
        <f t="shared" si="399"/>
        <v>7700000</v>
      </c>
      <c r="H2175" s="64"/>
      <c r="I2175" s="64">
        <v>327162.92</v>
      </c>
      <c r="J2175" s="64">
        <v>65902.45</v>
      </c>
      <c r="K2175" s="18">
        <f t="shared" si="400"/>
        <v>7306934.6299999999</v>
      </c>
      <c r="L2175" s="19">
        <f t="shared" si="401"/>
        <v>49526667</v>
      </c>
      <c r="M2175" s="20"/>
      <c r="N2175" s="20"/>
      <c r="O2175" s="81"/>
      <c r="P2175" s="55">
        <v>44344443</v>
      </c>
      <c r="Q2175" s="97">
        <v>44013</v>
      </c>
      <c r="R2175" s="14">
        <v>385000</v>
      </c>
      <c r="S2175" s="14">
        <v>492800</v>
      </c>
    </row>
    <row r="2176" spans="2:19" ht="12.75" hidden="1" customHeight="1" x14ac:dyDescent="0.25">
      <c r="B2176" s="16">
        <v>44084.083333333336</v>
      </c>
      <c r="C2176" s="50" t="s">
        <v>2069</v>
      </c>
      <c r="D2176" s="34"/>
      <c r="E2176" s="37">
        <v>7700000</v>
      </c>
      <c r="F2176" s="37"/>
      <c r="G2176" s="37">
        <f t="shared" si="399"/>
        <v>7700000</v>
      </c>
      <c r="H2176" s="64"/>
      <c r="I2176" s="64">
        <v>327162.92</v>
      </c>
      <c r="J2176" s="64">
        <v>65902.45</v>
      </c>
      <c r="K2176" s="18">
        <f t="shared" si="400"/>
        <v>7306934.6299999999</v>
      </c>
      <c r="L2176" s="19">
        <f t="shared" si="401"/>
        <v>41826667</v>
      </c>
      <c r="M2176" s="20"/>
      <c r="N2176" s="20"/>
      <c r="O2176" s="81"/>
      <c r="P2176" s="55">
        <v>44961279</v>
      </c>
      <c r="Q2176" s="97">
        <v>44044</v>
      </c>
      <c r="R2176" s="14">
        <v>385000</v>
      </c>
      <c r="S2176" s="14">
        <v>492800</v>
      </c>
    </row>
    <row r="2177" spans="2:19" ht="12.75" hidden="1" customHeight="1" x14ac:dyDescent="0.25">
      <c r="B2177" s="16">
        <v>44123.083333333336</v>
      </c>
      <c r="C2177" s="50" t="s">
        <v>2070</v>
      </c>
      <c r="D2177" s="34"/>
      <c r="E2177" s="37">
        <v>7700000</v>
      </c>
      <c r="F2177" s="37"/>
      <c r="G2177" s="37">
        <f t="shared" si="399"/>
        <v>7700000</v>
      </c>
      <c r="H2177" s="64"/>
      <c r="I2177" s="64">
        <v>217437.92</v>
      </c>
      <c r="J2177" s="64">
        <v>65902.45</v>
      </c>
      <c r="K2177" s="18">
        <f t="shared" si="400"/>
        <v>7416659.6299999999</v>
      </c>
      <c r="L2177" s="19">
        <f t="shared" si="401"/>
        <v>34126667</v>
      </c>
      <c r="M2177" s="20"/>
      <c r="N2177" s="20"/>
      <c r="O2177" s="81"/>
      <c r="P2177" s="55">
        <v>45544533</v>
      </c>
      <c r="Q2177" s="97">
        <v>44075</v>
      </c>
      <c r="R2177" s="14">
        <v>385000</v>
      </c>
      <c r="S2177" s="14">
        <v>492800</v>
      </c>
    </row>
    <row r="2178" spans="2:19" ht="12.75" hidden="1" customHeight="1" x14ac:dyDescent="0.25">
      <c r="B2178" s="16">
        <v>44153.125</v>
      </c>
      <c r="C2178" s="50" t="s">
        <v>2071</v>
      </c>
      <c r="D2178" s="34"/>
      <c r="E2178" s="37">
        <v>7700000</v>
      </c>
      <c r="F2178" s="37"/>
      <c r="G2178" s="37">
        <f t="shared" si="399"/>
        <v>7700000</v>
      </c>
      <c r="H2178" s="64"/>
      <c r="I2178" s="64">
        <v>217437.92</v>
      </c>
      <c r="J2178" s="64">
        <v>65902.45</v>
      </c>
      <c r="K2178" s="18">
        <f t="shared" si="400"/>
        <v>7416659.6299999999</v>
      </c>
      <c r="L2178" s="19">
        <f t="shared" si="401"/>
        <v>26426667</v>
      </c>
      <c r="M2178" s="20"/>
      <c r="N2178" s="20"/>
      <c r="O2178" s="81"/>
      <c r="P2178" s="55">
        <v>46304635</v>
      </c>
      <c r="Q2178" s="97">
        <v>44105</v>
      </c>
      <c r="R2178" s="14">
        <v>385000</v>
      </c>
      <c r="S2178" s="14">
        <v>492800</v>
      </c>
    </row>
    <row r="2179" spans="2:19" ht="12.75" hidden="1" customHeight="1" x14ac:dyDescent="0.25">
      <c r="B2179" s="16">
        <v>44181.125</v>
      </c>
      <c r="C2179" s="50" t="s">
        <v>2072</v>
      </c>
      <c r="D2179" s="34"/>
      <c r="E2179" s="37">
        <v>7700000</v>
      </c>
      <c r="F2179" s="37"/>
      <c r="G2179" s="37">
        <f t="shared" si="399"/>
        <v>7700000</v>
      </c>
      <c r="H2179" s="64"/>
      <c r="I2179" s="64">
        <v>327162.92</v>
      </c>
      <c r="J2179" s="64">
        <v>65902.45</v>
      </c>
      <c r="K2179" s="18">
        <f t="shared" si="400"/>
        <v>7306934.6299999999</v>
      </c>
      <c r="L2179" s="19">
        <f t="shared" si="401"/>
        <v>18726667</v>
      </c>
      <c r="M2179" s="20"/>
      <c r="N2179" s="20"/>
      <c r="O2179" s="81"/>
      <c r="P2179" s="55"/>
      <c r="Q2179" s="97"/>
      <c r="R2179" s="14"/>
      <c r="S2179" s="14"/>
    </row>
    <row r="2180" spans="2:19" ht="12.75" hidden="1" customHeight="1" x14ac:dyDescent="0.25">
      <c r="B2180" s="16">
        <v>44200.125</v>
      </c>
      <c r="C2180" s="50" t="s">
        <v>2073</v>
      </c>
      <c r="D2180" s="34"/>
      <c r="E2180" s="37">
        <v>7700000</v>
      </c>
      <c r="F2180" s="37"/>
      <c r="G2180" s="37">
        <f t="shared" si="399"/>
        <v>7700000</v>
      </c>
      <c r="H2180" s="64"/>
      <c r="I2180" s="64">
        <v>327162.92</v>
      </c>
      <c r="J2180" s="64">
        <v>65902.45</v>
      </c>
      <c r="K2180" s="18">
        <f t="shared" si="400"/>
        <v>7306934.6299999999</v>
      </c>
      <c r="L2180" s="19">
        <f t="shared" si="401"/>
        <v>11026667</v>
      </c>
      <c r="M2180" s="20"/>
      <c r="N2180" s="20"/>
      <c r="O2180" s="81"/>
      <c r="P2180" s="55"/>
      <c r="Q2180" s="97"/>
      <c r="R2180" s="14"/>
      <c r="S2180" s="14"/>
    </row>
    <row r="2181" spans="2:19" ht="12.75" hidden="1" customHeight="1" x14ac:dyDescent="0.25">
      <c r="B2181" s="16"/>
      <c r="C2181" s="50" t="s">
        <v>2047</v>
      </c>
      <c r="D2181" s="34"/>
      <c r="E2181" s="37">
        <v>11026667</v>
      </c>
      <c r="F2181" s="37"/>
      <c r="G2181" s="37">
        <f t="shared" si="399"/>
        <v>11026667</v>
      </c>
      <c r="H2181" s="64"/>
      <c r="I2181" s="64"/>
      <c r="J2181" s="64"/>
      <c r="K2181" s="18">
        <f t="shared" si="400"/>
        <v>11026667</v>
      </c>
      <c r="L2181" s="19">
        <f t="shared" si="401"/>
        <v>0</v>
      </c>
      <c r="M2181" s="20"/>
      <c r="N2181" s="20"/>
      <c r="O2181" s="81"/>
      <c r="P2181" s="55"/>
      <c r="Q2181" s="97"/>
      <c r="R2181" s="14"/>
      <c r="S2181" s="14"/>
    </row>
    <row r="2182" spans="2:19" ht="15" hidden="1" x14ac:dyDescent="0.25">
      <c r="B2182" s="9" t="s">
        <v>2074</v>
      </c>
      <c r="C2182" s="10"/>
      <c r="D2182" s="11">
        <v>80500000</v>
      </c>
      <c r="E2182" s="11">
        <f>+D2182</f>
        <v>80500000</v>
      </c>
      <c r="F2182" s="11"/>
      <c r="G2182" s="11"/>
      <c r="H2182" s="11"/>
      <c r="I2182" s="11"/>
      <c r="J2182" s="11"/>
      <c r="K2182" s="11"/>
      <c r="L2182" s="11">
        <f>+D2182</f>
        <v>80500000</v>
      </c>
      <c r="M2182" s="12"/>
      <c r="N2182" s="12"/>
      <c r="P2182" s="55"/>
      <c r="Q2182" s="55"/>
      <c r="R2182" s="14"/>
      <c r="S2182" s="14"/>
    </row>
    <row r="2183" spans="2:19" ht="12.75" hidden="1" customHeight="1" x14ac:dyDescent="0.25">
      <c r="B2183" s="16">
        <v>43873.125</v>
      </c>
      <c r="C2183" s="50" t="s">
        <v>2075</v>
      </c>
      <c r="D2183" s="34"/>
      <c r="E2183" s="37">
        <v>2800000</v>
      </c>
      <c r="F2183" s="37"/>
      <c r="G2183" s="37">
        <f>+E2183</f>
        <v>2800000</v>
      </c>
      <c r="H2183" s="64"/>
      <c r="I2183" s="64"/>
      <c r="J2183" s="64">
        <v>23964.53</v>
      </c>
      <c r="K2183" s="18">
        <f>+G2183-H2183-I2183-J2183</f>
        <v>2776035.47</v>
      </c>
      <c r="L2183" s="19">
        <f>+L2182-G2183</f>
        <v>77700000</v>
      </c>
      <c r="M2183" s="20"/>
      <c r="N2183" s="20"/>
      <c r="O2183" s="81">
        <f>+L2187-'[1]ANEXO 7 - PPTO VIG 2020'!T24</f>
        <v>0</v>
      </c>
      <c r="P2183" s="55">
        <v>1026820390</v>
      </c>
      <c r="Q2183" s="97">
        <v>43831</v>
      </c>
      <c r="R2183" s="14">
        <v>175000</v>
      </c>
      <c r="S2183" s="14">
        <v>224000</v>
      </c>
    </row>
    <row r="2184" spans="2:19" ht="12.75" hidden="1" customHeight="1" x14ac:dyDescent="0.25">
      <c r="B2184" s="16">
        <v>43895.125</v>
      </c>
      <c r="C2184" s="50" t="s">
        <v>2076</v>
      </c>
      <c r="D2184" s="34"/>
      <c r="E2184" s="37">
        <v>7000000</v>
      </c>
      <c r="F2184" s="37"/>
      <c r="G2184" s="37">
        <f>+E2184</f>
        <v>7000000</v>
      </c>
      <c r="H2184" s="64"/>
      <c r="I2184" s="64">
        <v>139233.91</v>
      </c>
      <c r="J2184" s="64">
        <v>59911.32</v>
      </c>
      <c r="K2184" s="18">
        <f>+G2184-H2184-I2184-J2184</f>
        <v>6800854.7699999996</v>
      </c>
      <c r="L2184" s="19">
        <f>+L2183-G2184</f>
        <v>70700000</v>
      </c>
      <c r="M2184" s="20"/>
      <c r="N2184" s="20"/>
      <c r="O2184" s="81"/>
      <c r="P2184" s="55">
        <v>1026988375</v>
      </c>
      <c r="Q2184" s="97">
        <v>43862</v>
      </c>
      <c r="R2184" s="14">
        <v>350000</v>
      </c>
      <c r="S2184" s="14">
        <v>448000</v>
      </c>
    </row>
    <row r="2185" spans="2:19" ht="12.75" hidden="1" customHeight="1" x14ac:dyDescent="0.25">
      <c r="B2185" s="16">
        <v>43929.083333333336</v>
      </c>
      <c r="C2185" s="50" t="s">
        <v>2077</v>
      </c>
      <c r="D2185" s="34"/>
      <c r="E2185" s="37">
        <v>7000000</v>
      </c>
      <c r="F2185" s="37"/>
      <c r="G2185" s="37">
        <f>+E2185</f>
        <v>7000000</v>
      </c>
      <c r="H2185" s="64"/>
      <c r="I2185" s="64">
        <v>238983.89</v>
      </c>
      <c r="J2185" s="64">
        <v>59911.32</v>
      </c>
      <c r="K2185" s="18">
        <f>+G2185-H2185-I2185-J2185</f>
        <v>6701104.79</v>
      </c>
      <c r="L2185" s="19">
        <f>+L2184-G2185</f>
        <v>63700000</v>
      </c>
      <c r="M2185" s="20"/>
      <c r="N2185" s="20"/>
      <c r="O2185" s="81"/>
      <c r="P2185" s="55">
        <v>1028606989</v>
      </c>
      <c r="Q2185" s="97">
        <v>43891</v>
      </c>
      <c r="R2185" s="14">
        <v>350000</v>
      </c>
      <c r="S2185" s="14">
        <v>448000</v>
      </c>
    </row>
    <row r="2186" spans="2:19" ht="12.75" hidden="1" customHeight="1" x14ac:dyDescent="0.25">
      <c r="B2186" s="16">
        <v>43959.083333333336</v>
      </c>
      <c r="C2186" s="50" t="s">
        <v>2078</v>
      </c>
      <c r="D2186" s="34"/>
      <c r="E2186" s="37">
        <v>7000000</v>
      </c>
      <c r="F2186" s="37"/>
      <c r="G2186" s="37">
        <f>+E2186</f>
        <v>7000000</v>
      </c>
      <c r="H2186" s="64"/>
      <c r="I2186" s="64">
        <v>237972.16</v>
      </c>
      <c r="J2186" s="64">
        <v>59911.32</v>
      </c>
      <c r="K2186" s="18">
        <f>+G2186-H2186-I2186-J2186</f>
        <v>6702116.5199999996</v>
      </c>
      <c r="L2186" s="19">
        <f>+L2185-G2186</f>
        <v>56700000</v>
      </c>
      <c r="M2186" s="20"/>
      <c r="N2186" s="20"/>
      <c r="O2186" s="81"/>
      <c r="P2186" s="55"/>
      <c r="Q2186" s="97"/>
      <c r="R2186" s="14"/>
      <c r="S2186" s="14"/>
    </row>
    <row r="2187" spans="2:19" ht="12.75" hidden="1" customHeight="1" x14ac:dyDescent="0.25">
      <c r="B2187" s="16"/>
      <c r="C2187" s="50" t="s">
        <v>654</v>
      </c>
      <c r="D2187" s="34"/>
      <c r="E2187" s="37">
        <v>56700000</v>
      </c>
      <c r="F2187" s="37"/>
      <c r="G2187" s="37">
        <f>+E2187</f>
        <v>56700000</v>
      </c>
      <c r="H2187" s="64"/>
      <c r="I2187" s="64"/>
      <c r="J2187" s="64"/>
      <c r="K2187" s="18"/>
      <c r="L2187" s="19">
        <f>+L2186-G2187</f>
        <v>0</v>
      </c>
      <c r="M2187" s="20"/>
      <c r="N2187" s="20"/>
      <c r="O2187" s="81"/>
      <c r="P2187" s="55"/>
      <c r="Q2187" s="97"/>
      <c r="R2187" s="14"/>
      <c r="S2187" s="14"/>
    </row>
    <row r="2188" spans="2:19" ht="15" hidden="1" x14ac:dyDescent="0.25">
      <c r="B2188" s="9" t="s">
        <v>2079</v>
      </c>
      <c r="C2188" s="10"/>
      <c r="D2188" s="11">
        <v>102000000</v>
      </c>
      <c r="E2188" s="11">
        <f>+D2188</f>
        <v>102000000</v>
      </c>
      <c r="F2188" s="11"/>
      <c r="G2188" s="11"/>
      <c r="H2188" s="11"/>
      <c r="I2188" s="11"/>
      <c r="J2188" s="11"/>
      <c r="K2188" s="11"/>
      <c r="L2188" s="11">
        <f>+D2188</f>
        <v>102000000</v>
      </c>
      <c r="M2188" s="12"/>
      <c r="N2188" s="12"/>
      <c r="P2188" s="55"/>
      <c r="Q2188" s="55"/>
      <c r="R2188" s="14"/>
      <c r="S2188" s="14"/>
    </row>
    <row r="2189" spans="2:19" ht="12.75" hidden="1" customHeight="1" x14ac:dyDescent="0.25">
      <c r="B2189" s="16">
        <v>43873.125</v>
      </c>
      <c r="C2189" s="50" t="s">
        <v>2080</v>
      </c>
      <c r="D2189" s="34"/>
      <c r="E2189" s="37">
        <v>8216667</v>
      </c>
      <c r="F2189" s="37"/>
      <c r="G2189" s="37">
        <f t="shared" ref="G2189:G2201" si="402">+E2189</f>
        <v>8216667</v>
      </c>
      <c r="H2189" s="64"/>
      <c r="I2189" s="64">
        <v>385631.07</v>
      </c>
      <c r="J2189" s="64">
        <v>70324.479999999996</v>
      </c>
      <c r="K2189" s="18">
        <f t="shared" ref="K2189:K2201" si="403">+G2189-H2189-I2189-J2189</f>
        <v>7760711.4499999993</v>
      </c>
      <c r="L2189" s="19">
        <f t="shared" ref="L2189:L2201" si="404">+L2188-G2189</f>
        <v>93783333</v>
      </c>
      <c r="M2189" s="20"/>
      <c r="N2189" s="20"/>
      <c r="O2189" s="81">
        <f>+L2201-'[1]ANEXO 7 - PPTO VIG 2020'!T103</f>
        <v>0</v>
      </c>
      <c r="P2189" s="55">
        <v>40177608</v>
      </c>
      <c r="Q2189" s="97">
        <v>43831</v>
      </c>
      <c r="R2189" s="14">
        <v>513000</v>
      </c>
      <c r="S2189" s="14">
        <v>544000</v>
      </c>
    </row>
    <row r="2190" spans="2:19" ht="12.75" hidden="1" customHeight="1" x14ac:dyDescent="0.25">
      <c r="B2190" s="16">
        <v>43895.125</v>
      </c>
      <c r="C2190" s="50" t="s">
        <v>2081</v>
      </c>
      <c r="D2190" s="34"/>
      <c r="E2190" s="37">
        <v>8500000</v>
      </c>
      <c r="F2190" s="37"/>
      <c r="G2190" s="37">
        <f t="shared" si="402"/>
        <v>8500000</v>
      </c>
      <c r="H2190" s="64"/>
      <c r="I2190" s="64">
        <v>438347.99</v>
      </c>
      <c r="J2190" s="64">
        <v>72749.460000000006</v>
      </c>
      <c r="K2190" s="18">
        <f t="shared" si="403"/>
        <v>7988902.5499999998</v>
      </c>
      <c r="L2190" s="19">
        <f t="shared" si="404"/>
        <v>85283333</v>
      </c>
      <c r="M2190" s="20"/>
      <c r="N2190" s="20"/>
      <c r="O2190" s="81"/>
      <c r="P2190" s="55">
        <v>40865163</v>
      </c>
      <c r="Q2190" s="97">
        <v>43862</v>
      </c>
      <c r="R2190" s="14">
        <v>513000</v>
      </c>
      <c r="S2190" s="14">
        <v>544000</v>
      </c>
    </row>
    <row r="2191" spans="2:19" ht="12.75" hidden="1" customHeight="1" x14ac:dyDescent="0.25">
      <c r="B2191" s="16">
        <v>43927.083333333336</v>
      </c>
      <c r="C2191" s="50" t="s">
        <v>2082</v>
      </c>
      <c r="D2191" s="34"/>
      <c r="E2191" s="37">
        <v>8500000</v>
      </c>
      <c r="F2191" s="37"/>
      <c r="G2191" s="37">
        <f t="shared" si="402"/>
        <v>8500000</v>
      </c>
      <c r="H2191" s="64"/>
      <c r="I2191" s="64">
        <v>438347.99</v>
      </c>
      <c r="J2191" s="64">
        <v>72749.460000000006</v>
      </c>
      <c r="K2191" s="18">
        <f t="shared" si="403"/>
        <v>7988902.5499999998</v>
      </c>
      <c r="L2191" s="19">
        <f t="shared" si="404"/>
        <v>76783333</v>
      </c>
      <c r="M2191" s="20"/>
      <c r="N2191" s="20"/>
      <c r="O2191" s="81"/>
      <c r="P2191" s="55">
        <v>577139162</v>
      </c>
      <c r="Q2191" s="97">
        <v>43891</v>
      </c>
      <c r="R2191" s="14">
        <v>513000</v>
      </c>
      <c r="S2191" s="14">
        <v>544000</v>
      </c>
    </row>
    <row r="2192" spans="2:19" ht="12.75" hidden="1" customHeight="1" x14ac:dyDescent="0.25">
      <c r="B2192" s="16">
        <v>43959.083333333336</v>
      </c>
      <c r="C2192" s="50" t="s">
        <v>2083</v>
      </c>
      <c r="D2192" s="34"/>
      <c r="E2192" s="37">
        <v>8500000</v>
      </c>
      <c r="F2192" s="37"/>
      <c r="G2192" s="37">
        <f t="shared" si="402"/>
        <v>8500000</v>
      </c>
      <c r="H2192" s="64"/>
      <c r="I2192" s="64">
        <v>438347.99</v>
      </c>
      <c r="J2192" s="64">
        <v>72749.460000000006</v>
      </c>
      <c r="K2192" s="18">
        <f t="shared" si="403"/>
        <v>7988902.5499999998</v>
      </c>
      <c r="L2192" s="19">
        <f t="shared" si="404"/>
        <v>68283333</v>
      </c>
      <c r="M2192" s="20"/>
      <c r="N2192" s="20"/>
      <c r="O2192" s="81"/>
      <c r="P2192" s="55">
        <v>41919967</v>
      </c>
      <c r="Q2192" s="97">
        <v>43922</v>
      </c>
      <c r="R2192" s="14">
        <v>513000</v>
      </c>
      <c r="S2192" s="14">
        <v>544000</v>
      </c>
    </row>
    <row r="2193" spans="2:19" ht="12.75" hidden="1" customHeight="1" x14ac:dyDescent="0.25">
      <c r="B2193" s="16">
        <v>43990.083333333336</v>
      </c>
      <c r="C2193" s="50" t="s">
        <v>2084</v>
      </c>
      <c r="D2193" s="34"/>
      <c r="E2193" s="37">
        <v>8500000</v>
      </c>
      <c r="F2193" s="37"/>
      <c r="G2193" s="37">
        <f t="shared" si="402"/>
        <v>8500000</v>
      </c>
      <c r="H2193" s="64"/>
      <c r="I2193" s="64">
        <v>438347.99</v>
      </c>
      <c r="J2193" s="64">
        <v>72749.460000000006</v>
      </c>
      <c r="K2193" s="18">
        <f t="shared" si="403"/>
        <v>7988902.5499999998</v>
      </c>
      <c r="L2193" s="19">
        <f t="shared" si="404"/>
        <v>59783333</v>
      </c>
      <c r="M2193" s="20"/>
      <c r="N2193" s="20"/>
      <c r="O2193" s="81"/>
      <c r="P2193" s="55">
        <v>634964211</v>
      </c>
      <c r="Q2193" s="97">
        <v>43952</v>
      </c>
      <c r="R2193" s="14">
        <v>513000</v>
      </c>
      <c r="S2193" s="14">
        <v>544000</v>
      </c>
    </row>
    <row r="2194" spans="2:19" ht="12.75" hidden="1" customHeight="1" x14ac:dyDescent="0.25">
      <c r="B2194" s="16">
        <v>44027.083333333336</v>
      </c>
      <c r="C2194" s="50" t="s">
        <v>2085</v>
      </c>
      <c r="D2194" s="34"/>
      <c r="E2194" s="37">
        <v>8500000</v>
      </c>
      <c r="F2194" s="37"/>
      <c r="G2194" s="37">
        <f t="shared" si="402"/>
        <v>8500000</v>
      </c>
      <c r="H2194" s="64"/>
      <c r="I2194" s="64">
        <v>438347.99</v>
      </c>
      <c r="J2194" s="64">
        <v>72749.460000000006</v>
      </c>
      <c r="K2194" s="18">
        <f t="shared" si="403"/>
        <v>7988902.5499999998</v>
      </c>
      <c r="L2194" s="19">
        <f t="shared" si="404"/>
        <v>51283333</v>
      </c>
      <c r="M2194" s="20"/>
      <c r="N2194" s="20"/>
      <c r="O2194" s="81"/>
      <c r="P2194" s="55">
        <v>43500655</v>
      </c>
      <c r="Q2194" s="97">
        <v>43983</v>
      </c>
      <c r="R2194" s="14">
        <v>513000</v>
      </c>
      <c r="S2194" s="14">
        <v>544000</v>
      </c>
    </row>
    <row r="2195" spans="2:19" ht="12.75" hidden="1" customHeight="1" x14ac:dyDescent="0.25">
      <c r="B2195" s="16">
        <v>44047.083333333336</v>
      </c>
      <c r="C2195" s="50" t="s">
        <v>2086</v>
      </c>
      <c r="D2195" s="34"/>
      <c r="E2195" s="37">
        <v>8500000</v>
      </c>
      <c r="F2195" s="37"/>
      <c r="G2195" s="37">
        <f t="shared" si="402"/>
        <v>8500000</v>
      </c>
      <c r="H2195" s="64"/>
      <c r="I2195" s="64">
        <v>438347.99</v>
      </c>
      <c r="J2195" s="64">
        <v>72749.460000000006</v>
      </c>
      <c r="K2195" s="18">
        <f t="shared" si="403"/>
        <v>7988902.5499999998</v>
      </c>
      <c r="L2195" s="19">
        <f t="shared" si="404"/>
        <v>42783333</v>
      </c>
      <c r="M2195" s="20"/>
      <c r="N2195" s="20"/>
      <c r="O2195" s="81"/>
      <c r="P2195" s="55">
        <v>44351930</v>
      </c>
      <c r="Q2195" s="97">
        <v>44013</v>
      </c>
      <c r="R2195" s="14">
        <v>513000</v>
      </c>
      <c r="S2195" s="14">
        <v>544000</v>
      </c>
    </row>
    <row r="2196" spans="2:19" ht="12.75" hidden="1" customHeight="1" x14ac:dyDescent="0.25">
      <c r="B2196" s="16">
        <v>44076.083333333336</v>
      </c>
      <c r="C2196" s="50" t="s">
        <v>2087</v>
      </c>
      <c r="D2196" s="34"/>
      <c r="E2196" s="37">
        <v>8500000</v>
      </c>
      <c r="F2196" s="37"/>
      <c r="G2196" s="37">
        <f t="shared" si="402"/>
        <v>8500000</v>
      </c>
      <c r="H2196" s="64"/>
      <c r="I2196" s="64">
        <v>438347.99</v>
      </c>
      <c r="J2196" s="64">
        <v>72749.460000000006</v>
      </c>
      <c r="K2196" s="18">
        <f t="shared" si="403"/>
        <v>7988902.5499999998</v>
      </c>
      <c r="L2196" s="19">
        <f t="shared" si="404"/>
        <v>34283333</v>
      </c>
      <c r="M2196" s="20"/>
      <c r="N2196" s="20"/>
      <c r="O2196" s="81"/>
      <c r="P2196" s="55">
        <v>44951823</v>
      </c>
      <c r="Q2196" s="97">
        <v>44044</v>
      </c>
      <c r="R2196" s="14">
        <v>513000</v>
      </c>
      <c r="S2196" s="14">
        <v>544000</v>
      </c>
    </row>
    <row r="2197" spans="2:19" ht="12.75" hidden="1" customHeight="1" x14ac:dyDescent="0.25">
      <c r="B2197" s="16">
        <v>44109.083333333336</v>
      </c>
      <c r="C2197" s="50" t="s">
        <v>2088</v>
      </c>
      <c r="D2197" s="34"/>
      <c r="E2197" s="37">
        <v>8500000</v>
      </c>
      <c r="F2197" s="37"/>
      <c r="G2197" s="37">
        <f t="shared" si="402"/>
        <v>8500000</v>
      </c>
      <c r="H2197" s="64"/>
      <c r="I2197" s="64">
        <v>438347.99</v>
      </c>
      <c r="J2197" s="64">
        <v>72749.460000000006</v>
      </c>
      <c r="K2197" s="18">
        <f t="shared" si="403"/>
        <v>7988902.5499999998</v>
      </c>
      <c r="L2197" s="19">
        <f t="shared" si="404"/>
        <v>25783333</v>
      </c>
      <c r="M2197" s="20"/>
      <c r="N2197" s="20"/>
      <c r="O2197" s="81"/>
      <c r="P2197" s="55">
        <v>45328492</v>
      </c>
      <c r="Q2197" s="97">
        <v>44075</v>
      </c>
      <c r="R2197" s="14">
        <v>513000</v>
      </c>
      <c r="S2197" s="14">
        <v>544000</v>
      </c>
    </row>
    <row r="2198" spans="2:19" ht="12.75" hidden="1" customHeight="1" x14ac:dyDescent="0.25">
      <c r="B2198" s="16">
        <v>44141.125</v>
      </c>
      <c r="C2198" s="50" t="s">
        <v>2089</v>
      </c>
      <c r="D2198" s="34"/>
      <c r="E2198" s="37">
        <v>8500000</v>
      </c>
      <c r="F2198" s="37"/>
      <c r="G2198" s="37">
        <f t="shared" si="402"/>
        <v>8500000</v>
      </c>
      <c r="H2198" s="64"/>
      <c r="I2198" s="64">
        <v>438347.99</v>
      </c>
      <c r="J2198" s="64">
        <v>72749.460000000006</v>
      </c>
      <c r="K2198" s="18">
        <f t="shared" si="403"/>
        <v>7988902.5499999998</v>
      </c>
      <c r="L2198" s="19">
        <f t="shared" si="404"/>
        <v>17283333</v>
      </c>
      <c r="M2198" s="20"/>
      <c r="N2198" s="20"/>
      <c r="O2198" s="81"/>
      <c r="P2198" s="55">
        <v>781241856</v>
      </c>
      <c r="Q2198" s="97">
        <v>44114</v>
      </c>
      <c r="R2198" s="14">
        <v>513000</v>
      </c>
      <c r="S2198" s="14">
        <v>544000</v>
      </c>
    </row>
    <row r="2199" spans="2:19" ht="12.75" hidden="1" customHeight="1" x14ac:dyDescent="0.25">
      <c r="B2199" s="16">
        <v>44168.125</v>
      </c>
      <c r="C2199" s="50" t="s">
        <v>2090</v>
      </c>
      <c r="D2199" s="34"/>
      <c r="E2199" s="37">
        <v>8500000</v>
      </c>
      <c r="F2199" s="37"/>
      <c r="G2199" s="37">
        <f t="shared" si="402"/>
        <v>8500000</v>
      </c>
      <c r="H2199" s="64"/>
      <c r="I2199" s="64">
        <v>438347.99</v>
      </c>
      <c r="J2199" s="64">
        <v>72749.460000000006</v>
      </c>
      <c r="K2199" s="18">
        <f t="shared" si="403"/>
        <v>7988902.5499999998</v>
      </c>
      <c r="L2199" s="19">
        <f t="shared" si="404"/>
        <v>8783333</v>
      </c>
      <c r="M2199" s="20"/>
      <c r="N2199" s="20"/>
      <c r="O2199" s="81"/>
      <c r="P2199" s="55">
        <v>812445483</v>
      </c>
      <c r="Q2199" s="97">
        <v>44136</v>
      </c>
      <c r="R2199" s="14">
        <v>513000</v>
      </c>
      <c r="S2199" s="14">
        <v>544000</v>
      </c>
    </row>
    <row r="2200" spans="2:19" ht="12.75" hidden="1" customHeight="1" x14ac:dyDescent="0.25">
      <c r="B2200" s="16">
        <v>44187.125</v>
      </c>
      <c r="C2200" s="50" t="s">
        <v>2091</v>
      </c>
      <c r="D2200" s="34"/>
      <c r="E2200" s="37">
        <v>8500000</v>
      </c>
      <c r="F2200" s="37"/>
      <c r="G2200" s="37">
        <f t="shared" si="402"/>
        <v>8500000</v>
      </c>
      <c r="H2200" s="64"/>
      <c r="I2200" s="64">
        <v>438347.99</v>
      </c>
      <c r="J2200" s="64">
        <v>72749.460000000006</v>
      </c>
      <c r="K2200" s="18">
        <f t="shared" si="403"/>
        <v>7988902.5499999998</v>
      </c>
      <c r="L2200" s="19">
        <f t="shared" si="404"/>
        <v>283333</v>
      </c>
      <c r="M2200" s="20"/>
      <c r="N2200" s="20"/>
      <c r="O2200" s="81"/>
      <c r="P2200" s="55">
        <v>47304784</v>
      </c>
      <c r="Q2200" s="97">
        <v>44166</v>
      </c>
      <c r="R2200" s="14">
        <v>512000</v>
      </c>
      <c r="S2200" s="14">
        <v>544000</v>
      </c>
    </row>
    <row r="2201" spans="2:19" ht="12.75" hidden="1" customHeight="1" x14ac:dyDescent="0.25">
      <c r="B2201" s="16"/>
      <c r="C2201" s="50" t="s">
        <v>654</v>
      </c>
      <c r="D2201" s="34"/>
      <c r="E2201" s="37">
        <v>283333</v>
      </c>
      <c r="F2201" s="37"/>
      <c r="G2201" s="37">
        <f t="shared" si="402"/>
        <v>283333</v>
      </c>
      <c r="H2201" s="64"/>
      <c r="I2201" s="64"/>
      <c r="J2201" s="64"/>
      <c r="K2201" s="18">
        <f t="shared" si="403"/>
        <v>283333</v>
      </c>
      <c r="L2201" s="19">
        <f t="shared" si="404"/>
        <v>0</v>
      </c>
      <c r="M2201" s="20"/>
      <c r="N2201" s="20"/>
      <c r="O2201" s="81"/>
      <c r="P2201" s="55"/>
      <c r="Q2201" s="97"/>
      <c r="R2201" s="14"/>
      <c r="S2201" s="14"/>
    </row>
    <row r="2202" spans="2:19" ht="15" hidden="1" x14ac:dyDescent="0.25">
      <c r="B2202" s="9" t="s">
        <v>2092</v>
      </c>
      <c r="C2202" s="10"/>
      <c r="D2202" s="11">
        <v>135840000</v>
      </c>
      <c r="E2202" s="11">
        <f>+D2202</f>
        <v>135840000</v>
      </c>
      <c r="F2202" s="11"/>
      <c r="G2202" s="11"/>
      <c r="H2202" s="11"/>
      <c r="I2202" s="11"/>
      <c r="J2202" s="11"/>
      <c r="K2202" s="11"/>
      <c r="L2202" s="11">
        <f>+D2202</f>
        <v>135840000</v>
      </c>
      <c r="M2202" s="12"/>
      <c r="N2202" s="12"/>
      <c r="P2202" s="55"/>
      <c r="Q2202" s="55"/>
      <c r="R2202" s="14"/>
      <c r="S2202" s="14"/>
    </row>
    <row r="2203" spans="2:19" ht="12.75" hidden="1" customHeight="1" x14ac:dyDescent="0.25">
      <c r="B2203" s="16">
        <v>43873.125</v>
      </c>
      <c r="C2203" s="50" t="s">
        <v>2093</v>
      </c>
      <c r="D2203" s="34"/>
      <c r="E2203" s="37">
        <v>7169333</v>
      </c>
      <c r="F2203" s="37"/>
      <c r="G2203" s="37">
        <f t="shared" ref="G2203:G2215" si="405">+E2203</f>
        <v>7169333</v>
      </c>
      <c r="H2203" s="64"/>
      <c r="I2203" s="64">
        <v>152289.57</v>
      </c>
      <c r="J2203" s="64">
        <v>61360.6</v>
      </c>
      <c r="K2203" s="18">
        <f t="shared" ref="K2203:K2215" si="406">+G2203-H2203-I2203-J2203</f>
        <v>6955682.8300000001</v>
      </c>
      <c r="L2203" s="19">
        <f t="shared" ref="L2203:L2215" si="407">+L2202-G2203</f>
        <v>128670667</v>
      </c>
      <c r="M2203" s="20"/>
      <c r="N2203" s="20"/>
      <c r="O2203" s="81">
        <f>+L2215-'[1]ANEXO 7 - PPTO VIG 2020'!T102</f>
        <v>0</v>
      </c>
      <c r="P2203" s="55">
        <v>40069284</v>
      </c>
      <c r="Q2203" s="97">
        <v>43831</v>
      </c>
      <c r="R2203" s="14">
        <v>656300</v>
      </c>
      <c r="S2203" s="14">
        <v>892600</v>
      </c>
    </row>
    <row r="2204" spans="2:19" ht="12.75" hidden="1" customHeight="1" x14ac:dyDescent="0.25">
      <c r="B2204" s="16">
        <v>43895.125</v>
      </c>
      <c r="C2204" s="50" t="s">
        <v>2094</v>
      </c>
      <c r="D2204" s="34"/>
      <c r="E2204" s="37">
        <v>11320000</v>
      </c>
      <c r="F2204" s="37"/>
      <c r="G2204" s="37">
        <f t="shared" si="405"/>
        <v>11320000</v>
      </c>
      <c r="H2204" s="64"/>
      <c r="I2204" s="64">
        <v>687595.95</v>
      </c>
      <c r="J2204" s="64">
        <v>96885.16</v>
      </c>
      <c r="K2204" s="18">
        <f t="shared" si="406"/>
        <v>10535518.890000001</v>
      </c>
      <c r="L2204" s="19">
        <f t="shared" si="407"/>
        <v>117350667</v>
      </c>
      <c r="M2204" s="20"/>
      <c r="N2204" s="20"/>
      <c r="O2204" s="81"/>
      <c r="P2204" s="55">
        <v>40714090</v>
      </c>
      <c r="Q2204" s="97">
        <v>43862</v>
      </c>
      <c r="R2204" s="14">
        <v>656300</v>
      </c>
      <c r="S2204" s="14">
        <v>892600</v>
      </c>
    </row>
    <row r="2205" spans="2:19" ht="12.75" hidden="1" customHeight="1" x14ac:dyDescent="0.25">
      <c r="B2205" s="16">
        <v>43929.083333333336</v>
      </c>
      <c r="C2205" s="50" t="s">
        <v>2095</v>
      </c>
      <c r="D2205" s="34"/>
      <c r="E2205" s="37">
        <v>11320000</v>
      </c>
      <c r="F2205" s="37"/>
      <c r="G2205" s="37">
        <f t="shared" si="405"/>
        <v>11320000</v>
      </c>
      <c r="H2205" s="64"/>
      <c r="I2205" s="64">
        <v>719038.22</v>
      </c>
      <c r="J2205" s="64">
        <v>96885.16</v>
      </c>
      <c r="K2205" s="18">
        <f t="shared" si="406"/>
        <v>10504076.619999999</v>
      </c>
      <c r="L2205" s="19">
        <f t="shared" si="407"/>
        <v>106030667</v>
      </c>
      <c r="M2205" s="20"/>
      <c r="N2205" s="20"/>
      <c r="O2205" s="81"/>
      <c r="P2205" s="55">
        <v>41431659</v>
      </c>
      <c r="Q2205" s="97">
        <v>43891</v>
      </c>
      <c r="R2205" s="14">
        <v>1141200</v>
      </c>
      <c r="S2205" s="14">
        <v>1552100</v>
      </c>
    </row>
    <row r="2206" spans="2:19" ht="12.75" hidden="1" customHeight="1" x14ac:dyDescent="0.25">
      <c r="B2206" s="16">
        <v>43959.083333333336</v>
      </c>
      <c r="C2206" s="50" t="s">
        <v>2096</v>
      </c>
      <c r="D2206" s="34"/>
      <c r="E2206" s="37">
        <v>11320000</v>
      </c>
      <c r="F2206" s="37"/>
      <c r="G2206" s="37">
        <f t="shared" si="405"/>
        <v>11320000</v>
      </c>
      <c r="H2206" s="64"/>
      <c r="I2206" s="64">
        <v>1882186.19</v>
      </c>
      <c r="J2206" s="64">
        <v>96885.16</v>
      </c>
      <c r="K2206" s="18">
        <f t="shared" si="406"/>
        <v>9340928.6500000004</v>
      </c>
      <c r="L2206" s="19">
        <f t="shared" si="407"/>
        <v>94710667</v>
      </c>
      <c r="M2206" s="20"/>
      <c r="N2206" s="20"/>
      <c r="O2206" s="81"/>
      <c r="P2206" s="55">
        <v>42011407</v>
      </c>
      <c r="Q2206" s="97">
        <v>43922</v>
      </c>
      <c r="R2206" s="14">
        <v>714400</v>
      </c>
      <c r="S2206" s="14">
        <v>971100</v>
      </c>
    </row>
    <row r="2207" spans="2:19" ht="12.75" hidden="1" customHeight="1" x14ac:dyDescent="0.25">
      <c r="B2207" s="16">
        <v>43993.083333333336</v>
      </c>
      <c r="C2207" s="50" t="s">
        <v>2097</v>
      </c>
      <c r="D2207" s="34"/>
      <c r="E2207" s="37">
        <v>11320000</v>
      </c>
      <c r="F2207" s="37"/>
      <c r="G2207" s="37">
        <f t="shared" si="405"/>
        <v>11320000</v>
      </c>
      <c r="H2207" s="64"/>
      <c r="I2207" s="64">
        <v>4653978.3</v>
      </c>
      <c r="J2207" s="64">
        <v>96885.16</v>
      </c>
      <c r="K2207" s="18">
        <f t="shared" si="406"/>
        <v>6569136.54</v>
      </c>
      <c r="L2207" s="19">
        <f t="shared" si="407"/>
        <v>83390667</v>
      </c>
      <c r="M2207" s="20"/>
      <c r="N2207" s="20"/>
      <c r="O2207" s="81"/>
      <c r="P2207" s="55">
        <v>42759100</v>
      </c>
      <c r="Q2207" s="97">
        <v>43952</v>
      </c>
      <c r="R2207" s="14">
        <v>714400</v>
      </c>
      <c r="S2207" s="14">
        <v>971100</v>
      </c>
    </row>
    <row r="2208" spans="2:19" ht="12.75" hidden="1" customHeight="1" x14ac:dyDescent="0.25">
      <c r="B2208" s="16">
        <v>44020.083333333336</v>
      </c>
      <c r="C2208" s="50" t="s">
        <v>2098</v>
      </c>
      <c r="D2208" s="34"/>
      <c r="E2208" s="37">
        <v>11320000</v>
      </c>
      <c r="F2208" s="37"/>
      <c r="G2208" s="37">
        <f t="shared" si="405"/>
        <v>11320000</v>
      </c>
      <c r="H2208" s="64"/>
      <c r="I2208" s="64">
        <v>4654320.3</v>
      </c>
      <c r="J2208" s="64">
        <v>96885.16</v>
      </c>
      <c r="K2208" s="18">
        <f t="shared" si="406"/>
        <v>6568794.54</v>
      </c>
      <c r="L2208" s="19">
        <f t="shared" si="407"/>
        <v>72070667</v>
      </c>
      <c r="M2208" s="20"/>
      <c r="N2208" s="20"/>
      <c r="O2208" s="81"/>
      <c r="P2208" s="55">
        <v>43357718</v>
      </c>
      <c r="Q2208" s="97">
        <v>43983</v>
      </c>
      <c r="R2208" s="14">
        <v>656300</v>
      </c>
      <c r="S2208" s="14">
        <v>892600</v>
      </c>
    </row>
    <row r="2209" spans="2:21" ht="12.75" hidden="1" customHeight="1" x14ac:dyDescent="0.25">
      <c r="B2209" s="16">
        <v>44053.083333333336</v>
      </c>
      <c r="C2209" s="50" t="s">
        <v>2099</v>
      </c>
      <c r="D2209" s="34"/>
      <c r="E2209" s="37">
        <v>11320000</v>
      </c>
      <c r="F2209" s="37"/>
      <c r="G2209" s="37">
        <f t="shared" si="405"/>
        <v>11320000</v>
      </c>
      <c r="H2209" s="64"/>
      <c r="I2209" s="64">
        <v>713498.41</v>
      </c>
      <c r="J2209" s="64">
        <v>96885.16</v>
      </c>
      <c r="K2209" s="18">
        <f t="shared" si="406"/>
        <v>10509616.43</v>
      </c>
      <c r="L2209" s="19">
        <f t="shared" si="407"/>
        <v>60750667</v>
      </c>
      <c r="M2209" s="20"/>
      <c r="N2209" s="20"/>
      <c r="O2209" s="81"/>
      <c r="P2209" s="55">
        <v>44121710</v>
      </c>
      <c r="Q2209" s="97">
        <v>44013</v>
      </c>
      <c r="R2209" s="14">
        <v>687500</v>
      </c>
      <c r="S2209" s="14">
        <v>935000</v>
      </c>
    </row>
    <row r="2210" spans="2:21" ht="12.75" hidden="1" customHeight="1" x14ac:dyDescent="0.25">
      <c r="B2210" s="16">
        <v>44082.083333333336</v>
      </c>
      <c r="C2210" s="50" t="s">
        <v>2100</v>
      </c>
      <c r="D2210" s="34"/>
      <c r="E2210" s="37">
        <v>11320000</v>
      </c>
      <c r="F2210" s="37"/>
      <c r="G2210" s="37">
        <f t="shared" si="405"/>
        <v>11320000</v>
      </c>
      <c r="H2210" s="64"/>
      <c r="I2210" s="64">
        <v>713540.39</v>
      </c>
      <c r="J2210" s="64">
        <v>96885.16</v>
      </c>
      <c r="K2210" s="18">
        <f t="shared" si="406"/>
        <v>10509574.449999999</v>
      </c>
      <c r="L2210" s="19">
        <f t="shared" si="407"/>
        <v>49430667</v>
      </c>
      <c r="M2210" s="20"/>
      <c r="N2210" s="20"/>
      <c r="O2210" s="81"/>
      <c r="P2210" s="55">
        <v>716398108</v>
      </c>
      <c r="Q2210" s="97">
        <v>44044</v>
      </c>
      <c r="R2210" s="14">
        <v>687500</v>
      </c>
      <c r="S2210" s="14">
        <v>935000</v>
      </c>
      <c r="T2210" s="3">
        <f>+L2202*40%</f>
        <v>54336000</v>
      </c>
    </row>
    <row r="2211" spans="2:21" ht="12.75" hidden="1" customHeight="1" x14ac:dyDescent="0.25">
      <c r="B2211" s="16">
        <v>44125.083333333336</v>
      </c>
      <c r="C2211" s="50" t="s">
        <v>2101</v>
      </c>
      <c r="D2211" s="34"/>
      <c r="E2211" s="37">
        <v>11320000</v>
      </c>
      <c r="F2211" s="37"/>
      <c r="G2211" s="37">
        <f t="shared" si="405"/>
        <v>11320000</v>
      </c>
      <c r="H2211" s="64">
        <v>271109.24</v>
      </c>
      <c r="I2211" s="64">
        <v>424951.6</v>
      </c>
      <c r="J2211" s="64">
        <v>81416.100000000006</v>
      </c>
      <c r="K2211" s="18">
        <f t="shared" si="406"/>
        <v>10542523.060000001</v>
      </c>
      <c r="L2211" s="19">
        <f t="shared" si="407"/>
        <v>38110667</v>
      </c>
      <c r="M2211" s="20"/>
      <c r="N2211" s="20"/>
      <c r="O2211" s="81"/>
      <c r="P2211" s="55">
        <v>45391894</v>
      </c>
      <c r="Q2211" s="97">
        <v>44075</v>
      </c>
      <c r="R2211" s="14">
        <v>656300</v>
      </c>
      <c r="S2211" s="14">
        <v>892600</v>
      </c>
      <c r="T2211" s="3">
        <f>+T2210*12.5%</f>
        <v>6792000</v>
      </c>
    </row>
    <row r="2212" spans="2:21" ht="12.75" hidden="1" customHeight="1" x14ac:dyDescent="0.25">
      <c r="B2212" s="16">
        <v>44152.125</v>
      </c>
      <c r="C2212" s="50" t="s">
        <v>2102</v>
      </c>
      <c r="D2212" s="34"/>
      <c r="E2212" s="37">
        <v>11320000</v>
      </c>
      <c r="F2212" s="37"/>
      <c r="G2212" s="37">
        <f t="shared" si="405"/>
        <v>11320000</v>
      </c>
      <c r="H2212" s="64">
        <v>271109.24</v>
      </c>
      <c r="I2212" s="64">
        <v>416961</v>
      </c>
      <c r="J2212" s="64">
        <v>81416.100000000006</v>
      </c>
      <c r="K2212" s="18">
        <f t="shared" si="406"/>
        <v>10550513.66</v>
      </c>
      <c r="L2212" s="19">
        <f t="shared" si="407"/>
        <v>26790667</v>
      </c>
      <c r="M2212" s="20"/>
      <c r="N2212" s="20"/>
      <c r="O2212" s="81"/>
      <c r="P2212" s="55">
        <v>775433886</v>
      </c>
      <c r="Q2212" s="97">
        <v>44105</v>
      </c>
      <c r="R2212" s="14">
        <v>656300</v>
      </c>
      <c r="S2212" s="14">
        <v>892600</v>
      </c>
      <c r="T2212" s="3">
        <f>+T2210*16%</f>
        <v>8693760</v>
      </c>
    </row>
    <row r="2213" spans="2:21" ht="12.75" hidden="1" customHeight="1" x14ac:dyDescent="0.25">
      <c r="B2213" s="16">
        <v>44176.125</v>
      </c>
      <c r="C2213" s="50" t="s">
        <v>2103</v>
      </c>
      <c r="D2213" s="34"/>
      <c r="E2213" s="37">
        <v>11320000</v>
      </c>
      <c r="F2213" s="37"/>
      <c r="G2213" s="37">
        <f t="shared" si="405"/>
        <v>11320000</v>
      </c>
      <c r="H2213" s="64">
        <v>271109.24</v>
      </c>
      <c r="I2213" s="64">
        <v>382326.74</v>
      </c>
      <c r="J2213" s="64">
        <v>81416.100000000006</v>
      </c>
      <c r="K2213" s="18">
        <f t="shared" si="406"/>
        <v>10585147.92</v>
      </c>
      <c r="L2213" s="19">
        <f t="shared" si="407"/>
        <v>15470667</v>
      </c>
      <c r="M2213" s="20"/>
      <c r="N2213" s="20"/>
      <c r="O2213" s="81"/>
      <c r="P2213" s="55">
        <v>801749653</v>
      </c>
      <c r="Q2213" s="97">
        <v>44136</v>
      </c>
      <c r="R2213" s="14">
        <v>656300</v>
      </c>
      <c r="S2213" s="14">
        <v>892600</v>
      </c>
    </row>
    <row r="2214" spans="2:21" ht="12.75" hidden="1" customHeight="1" x14ac:dyDescent="0.25">
      <c r="B2214" s="16">
        <v>44189.125</v>
      </c>
      <c r="C2214" s="50" t="s">
        <v>2104</v>
      </c>
      <c r="D2214" s="34"/>
      <c r="E2214" s="37">
        <v>11320000</v>
      </c>
      <c r="F2214" s="37"/>
      <c r="G2214" s="37">
        <f t="shared" si="405"/>
        <v>11320000</v>
      </c>
      <c r="H2214" s="64">
        <v>271109.24</v>
      </c>
      <c r="I2214" s="64">
        <v>382956.74</v>
      </c>
      <c r="J2214" s="64">
        <v>81416.100000000006</v>
      </c>
      <c r="K2214" s="18">
        <f t="shared" si="406"/>
        <v>10584517.92</v>
      </c>
      <c r="L2214" s="19">
        <f t="shared" si="407"/>
        <v>4150667</v>
      </c>
      <c r="M2214" s="20"/>
      <c r="N2214" s="20"/>
      <c r="O2214" s="81"/>
      <c r="P2214" s="55">
        <v>817177501</v>
      </c>
      <c r="Q2214" s="97">
        <v>44166</v>
      </c>
      <c r="R2214" s="14">
        <v>1162500</v>
      </c>
      <c r="S2214" s="14">
        <v>1581000</v>
      </c>
    </row>
    <row r="2215" spans="2:21" ht="12.75" hidden="1" customHeight="1" x14ac:dyDescent="0.25">
      <c r="B2215" s="16"/>
      <c r="C2215" s="50" t="s">
        <v>654</v>
      </c>
      <c r="D2215" s="34"/>
      <c r="E2215" s="37">
        <v>4150667</v>
      </c>
      <c r="F2215" s="37"/>
      <c r="G2215" s="37">
        <f t="shared" si="405"/>
        <v>4150667</v>
      </c>
      <c r="H2215" s="64"/>
      <c r="I2215" s="64"/>
      <c r="J2215" s="64"/>
      <c r="K2215" s="18">
        <f t="shared" si="406"/>
        <v>4150667</v>
      </c>
      <c r="L2215" s="19">
        <f t="shared" si="407"/>
        <v>0</v>
      </c>
      <c r="M2215" s="20"/>
      <c r="N2215" s="20"/>
      <c r="O2215" s="81"/>
      <c r="P2215" s="55"/>
      <c r="Q2215" s="97"/>
      <c r="R2215" s="14"/>
      <c r="S2215" s="14"/>
    </row>
    <row r="2216" spans="2:21" ht="15" hidden="1" x14ac:dyDescent="0.25">
      <c r="B2216" s="9" t="s">
        <v>2105</v>
      </c>
      <c r="C2216" s="10"/>
      <c r="D2216" s="11">
        <v>78400000</v>
      </c>
      <c r="E2216" s="11">
        <f>+D2216</f>
        <v>78400000</v>
      </c>
      <c r="F2216" s="11"/>
      <c r="G2216" s="11"/>
      <c r="H2216" s="11"/>
      <c r="I2216" s="11"/>
      <c r="J2216" s="11"/>
      <c r="K2216" s="11"/>
      <c r="L2216" s="11">
        <f>+D2216</f>
        <v>78400000</v>
      </c>
      <c r="M2216" s="12"/>
      <c r="N2216" s="12"/>
      <c r="P2216" s="55"/>
      <c r="Q2216" s="55"/>
      <c r="R2216" s="14"/>
      <c r="S2216" s="14"/>
      <c r="U2216" s="3"/>
    </row>
    <row r="2217" spans="2:21" ht="12.75" hidden="1" customHeight="1" x14ac:dyDescent="0.25">
      <c r="B2217" s="16">
        <v>43873.125</v>
      </c>
      <c r="C2217" s="50" t="s">
        <v>2106</v>
      </c>
      <c r="D2217" s="34"/>
      <c r="E2217" s="37">
        <v>1800000</v>
      </c>
      <c r="F2217" s="37"/>
      <c r="G2217" s="37">
        <f t="shared" ref="G2217:G2229" si="408">+E2217</f>
        <v>1800000</v>
      </c>
      <c r="H2217" s="64"/>
      <c r="I2217" s="64"/>
      <c r="J2217" s="64">
        <v>15405.77</v>
      </c>
      <c r="K2217" s="18">
        <f t="shared" ref="K2217:K2229" si="409">+G2217-H2217-I2217-J2217</f>
        <v>1784594.23</v>
      </c>
      <c r="L2217" s="19">
        <f t="shared" ref="L2217:L2229" si="410">+L2216-G2217</f>
        <v>76600000</v>
      </c>
      <c r="M2217" s="20"/>
      <c r="N2217" s="20"/>
      <c r="O2217" s="81">
        <f>+L2229-'[1]ANEXO 7 - PPTO VIG 2020'!T105</f>
        <v>0</v>
      </c>
      <c r="P2217" s="55">
        <v>40772903</v>
      </c>
      <c r="Q2217" s="97">
        <v>43831</v>
      </c>
      <c r="R2217" s="14">
        <v>304000</v>
      </c>
      <c r="S2217" s="14">
        <v>389100</v>
      </c>
      <c r="T2217" s="99">
        <f>78400000*40%</f>
        <v>31360000</v>
      </c>
      <c r="U2217" s="3"/>
    </row>
    <row r="2218" spans="2:21" ht="12.75" hidden="1" customHeight="1" x14ac:dyDescent="0.25">
      <c r="B2218" s="16">
        <v>43893.125</v>
      </c>
      <c r="C2218" s="50" t="s">
        <v>2107</v>
      </c>
      <c r="D2218" s="34"/>
      <c r="E2218" s="37">
        <v>6000000</v>
      </c>
      <c r="F2218" s="37"/>
      <c r="G2218" s="37">
        <f t="shared" si="408"/>
        <v>6000000</v>
      </c>
      <c r="H2218" s="64"/>
      <c r="I2218" s="64">
        <v>113028.15</v>
      </c>
      <c r="J2218" s="64">
        <v>51352.56</v>
      </c>
      <c r="K2218" s="18">
        <f t="shared" si="409"/>
        <v>5835619.29</v>
      </c>
      <c r="L2218" s="19">
        <f t="shared" si="410"/>
        <v>70600000</v>
      </c>
      <c r="M2218" s="20"/>
      <c r="N2218" s="20"/>
      <c r="O2218" s="81"/>
      <c r="P2218" s="55">
        <v>41358338</v>
      </c>
      <c r="Q2218" s="97">
        <v>43862</v>
      </c>
      <c r="R2218" s="14">
        <v>304000</v>
      </c>
      <c r="S2218" s="14">
        <v>389100</v>
      </c>
      <c r="T2218" s="99">
        <f>+T2217*12.5%</f>
        <v>3920000</v>
      </c>
      <c r="U2218" s="3"/>
    </row>
    <row r="2219" spans="2:21" ht="12.75" hidden="1" customHeight="1" x14ac:dyDescent="0.25">
      <c r="B2219" s="16">
        <v>43936.083333333336</v>
      </c>
      <c r="C2219" s="50" t="s">
        <v>2108</v>
      </c>
      <c r="D2219" s="34"/>
      <c r="E2219" s="37">
        <v>6000000</v>
      </c>
      <c r="F2219" s="37"/>
      <c r="G2219" s="37">
        <f t="shared" si="408"/>
        <v>6000000</v>
      </c>
      <c r="H2219" s="64"/>
      <c r="I2219" s="64">
        <v>113028.15</v>
      </c>
      <c r="J2219" s="64">
        <v>51352.56</v>
      </c>
      <c r="K2219" s="18">
        <f t="shared" si="409"/>
        <v>5835619.29</v>
      </c>
      <c r="L2219" s="19">
        <f t="shared" si="410"/>
        <v>64600000</v>
      </c>
      <c r="M2219" s="20"/>
      <c r="N2219" s="20"/>
      <c r="O2219" s="81"/>
      <c r="P2219" s="55">
        <v>42100174</v>
      </c>
      <c r="Q2219" s="97">
        <v>43891</v>
      </c>
      <c r="R2219" s="14">
        <v>300000</v>
      </c>
      <c r="S2219" s="14">
        <v>384000</v>
      </c>
      <c r="T2219" s="99">
        <f>+T2217*16%</f>
        <v>5017600</v>
      </c>
      <c r="U2219" s="3"/>
    </row>
    <row r="2220" spans="2:21" ht="12.75" hidden="1" customHeight="1" x14ac:dyDescent="0.25">
      <c r="B2220" s="16">
        <v>43957.083333333336</v>
      </c>
      <c r="C2220" s="50" t="s">
        <v>2109</v>
      </c>
      <c r="D2220" s="34"/>
      <c r="E2220" s="37">
        <v>6000000</v>
      </c>
      <c r="F2220" s="37"/>
      <c r="G2220" s="37">
        <f t="shared" si="408"/>
        <v>6000000</v>
      </c>
      <c r="H2220" s="64"/>
      <c r="I2220" s="64">
        <v>113028.15</v>
      </c>
      <c r="J2220" s="64">
        <v>51352.56</v>
      </c>
      <c r="K2220" s="18">
        <f t="shared" si="409"/>
        <v>5835619.29</v>
      </c>
      <c r="L2220" s="19">
        <f t="shared" si="410"/>
        <v>58600000</v>
      </c>
      <c r="M2220" s="20"/>
      <c r="N2220" s="20"/>
      <c r="O2220" s="81"/>
      <c r="P2220" s="55">
        <v>42500449</v>
      </c>
      <c r="Q2220" s="97">
        <v>43922</v>
      </c>
      <c r="R2220" s="14">
        <v>300000</v>
      </c>
      <c r="S2220" s="14">
        <v>384000</v>
      </c>
      <c r="U2220" s="3"/>
    </row>
    <row r="2221" spans="2:21" ht="12.75" hidden="1" customHeight="1" x14ac:dyDescent="0.25">
      <c r="B2221" s="16">
        <v>43990.083333333336</v>
      </c>
      <c r="C2221" s="50" t="s">
        <v>2110</v>
      </c>
      <c r="D2221" s="34"/>
      <c r="E2221" s="37">
        <v>6000000</v>
      </c>
      <c r="F2221" s="37"/>
      <c r="G2221" s="37">
        <f t="shared" si="408"/>
        <v>6000000</v>
      </c>
      <c r="H2221" s="64"/>
      <c r="I2221" s="64">
        <v>113028.15</v>
      </c>
      <c r="J2221" s="64">
        <v>51352.56</v>
      </c>
      <c r="K2221" s="18">
        <f t="shared" si="409"/>
        <v>5835619.29</v>
      </c>
      <c r="L2221" s="19">
        <f t="shared" si="410"/>
        <v>52600000</v>
      </c>
      <c r="M2221" s="20"/>
      <c r="N2221" s="20"/>
      <c r="O2221" s="81"/>
      <c r="P2221" s="55">
        <v>43512167</v>
      </c>
      <c r="Q2221" s="97">
        <v>43952</v>
      </c>
      <c r="R2221" s="14">
        <v>300000</v>
      </c>
      <c r="S2221" s="14">
        <v>384000</v>
      </c>
      <c r="U2221" s="3"/>
    </row>
    <row r="2222" spans="2:21" ht="12.75" hidden="1" customHeight="1" x14ac:dyDescent="0.25">
      <c r="B2222" s="16">
        <v>44020.083333333336</v>
      </c>
      <c r="C2222" s="50" t="s">
        <v>2111</v>
      </c>
      <c r="D2222" s="34"/>
      <c r="E2222" s="37">
        <v>6000000</v>
      </c>
      <c r="F2222" s="37"/>
      <c r="G2222" s="37">
        <f t="shared" si="408"/>
        <v>6000000</v>
      </c>
      <c r="H2222" s="64"/>
      <c r="I2222" s="64">
        <v>113028.15</v>
      </c>
      <c r="J2222" s="64">
        <v>51352.56</v>
      </c>
      <c r="K2222" s="18">
        <f t="shared" si="409"/>
        <v>5835619.29</v>
      </c>
      <c r="L2222" s="19">
        <f t="shared" si="410"/>
        <v>46600000</v>
      </c>
      <c r="M2222" s="20"/>
      <c r="N2222" s="20"/>
      <c r="O2222" s="81"/>
      <c r="P2222" s="55">
        <v>44166045</v>
      </c>
      <c r="Q2222" s="97">
        <v>43983</v>
      </c>
      <c r="R2222" s="14">
        <v>300000</v>
      </c>
      <c r="S2222" s="14">
        <v>384000</v>
      </c>
      <c r="U2222" s="3"/>
    </row>
    <row r="2223" spans="2:21" ht="12.75" hidden="1" customHeight="1" x14ac:dyDescent="0.25">
      <c r="B2223" s="16">
        <v>44047.083333333336</v>
      </c>
      <c r="C2223" s="50" t="s">
        <v>2112</v>
      </c>
      <c r="D2223" s="34"/>
      <c r="E2223" s="37">
        <v>6000000</v>
      </c>
      <c r="F2223" s="37"/>
      <c r="G2223" s="37">
        <f t="shared" si="408"/>
        <v>6000000</v>
      </c>
      <c r="H2223" s="64"/>
      <c r="I2223" s="64">
        <v>113028.15</v>
      </c>
      <c r="J2223" s="64">
        <v>51352.56</v>
      </c>
      <c r="K2223" s="18">
        <f t="shared" si="409"/>
        <v>5835619.29</v>
      </c>
      <c r="L2223" s="19">
        <f t="shared" si="410"/>
        <v>40600000</v>
      </c>
      <c r="M2223" s="20"/>
      <c r="N2223" s="20"/>
      <c r="O2223" s="81"/>
      <c r="P2223" s="55">
        <v>44601037</v>
      </c>
      <c r="Q2223" s="97">
        <v>44013</v>
      </c>
      <c r="R2223" s="14">
        <v>300000</v>
      </c>
      <c r="S2223" s="14">
        <v>384000</v>
      </c>
      <c r="U2223" s="3"/>
    </row>
    <row r="2224" spans="2:21" ht="12.75" hidden="1" customHeight="1" x14ac:dyDescent="0.25">
      <c r="B2224" s="16">
        <v>44091.083333333336</v>
      </c>
      <c r="C2224" s="50" t="s">
        <v>2113</v>
      </c>
      <c r="D2224" s="34"/>
      <c r="E2224" s="37">
        <v>6000000</v>
      </c>
      <c r="F2224" s="37"/>
      <c r="G2224" s="37">
        <f t="shared" si="408"/>
        <v>6000000</v>
      </c>
      <c r="H2224" s="64"/>
      <c r="I2224" s="64">
        <v>113028.15</v>
      </c>
      <c r="J2224" s="64">
        <v>51352.56</v>
      </c>
      <c r="K2224" s="18">
        <f t="shared" si="409"/>
        <v>5835619.29</v>
      </c>
      <c r="L2224" s="19">
        <f t="shared" si="410"/>
        <v>34600000</v>
      </c>
      <c r="M2224" s="20"/>
      <c r="N2224" s="20"/>
      <c r="O2224" s="81"/>
      <c r="P2224" s="55">
        <v>45519007</v>
      </c>
      <c r="Q2224" s="97">
        <v>44044</v>
      </c>
      <c r="R2224" s="14">
        <v>300000</v>
      </c>
      <c r="S2224" s="14">
        <v>384000</v>
      </c>
      <c r="U2224" s="3"/>
    </row>
    <row r="2225" spans="2:21" ht="12.75" hidden="1" customHeight="1" x14ac:dyDescent="0.25">
      <c r="B2225" s="16">
        <v>44109.083333333336</v>
      </c>
      <c r="C2225" s="50" t="s">
        <v>2114</v>
      </c>
      <c r="D2225" s="34"/>
      <c r="E2225" s="37">
        <v>6000000</v>
      </c>
      <c r="F2225" s="37"/>
      <c r="G2225" s="37">
        <f t="shared" si="408"/>
        <v>6000000</v>
      </c>
      <c r="H2225" s="64"/>
      <c r="I2225" s="64">
        <v>113028.15</v>
      </c>
      <c r="J2225" s="64">
        <v>51352.56</v>
      </c>
      <c r="K2225" s="18">
        <f t="shared" si="409"/>
        <v>5835619.29</v>
      </c>
      <c r="L2225" s="19">
        <f t="shared" si="410"/>
        <v>28600000</v>
      </c>
      <c r="M2225" s="20"/>
      <c r="N2225" s="20"/>
      <c r="O2225" s="81"/>
      <c r="P2225" s="55">
        <v>46098879</v>
      </c>
      <c r="Q2225" s="97">
        <v>44075</v>
      </c>
      <c r="R2225" s="14">
        <v>300000</v>
      </c>
      <c r="S2225" s="14">
        <v>384000</v>
      </c>
      <c r="U2225" s="3"/>
    </row>
    <row r="2226" spans="2:21" ht="12.75" hidden="1" customHeight="1" x14ac:dyDescent="0.25">
      <c r="B2226" s="16">
        <v>44141.125</v>
      </c>
      <c r="C2226" s="50" t="s">
        <v>2115</v>
      </c>
      <c r="D2226" s="34"/>
      <c r="E2226" s="37">
        <v>6000000</v>
      </c>
      <c r="F2226" s="37"/>
      <c r="G2226" s="37">
        <f t="shared" si="408"/>
        <v>6000000</v>
      </c>
      <c r="H2226" s="64"/>
      <c r="I2226" s="64">
        <v>113028.15</v>
      </c>
      <c r="J2226" s="64">
        <v>51352.56</v>
      </c>
      <c r="K2226" s="18">
        <f t="shared" si="409"/>
        <v>5835619.29</v>
      </c>
      <c r="L2226" s="19">
        <f t="shared" si="410"/>
        <v>22600000</v>
      </c>
      <c r="M2226" s="20"/>
      <c r="N2226" s="20"/>
      <c r="O2226" s="81"/>
      <c r="P2226" s="55">
        <v>46762031</v>
      </c>
      <c r="Q2226" s="97">
        <v>44105</v>
      </c>
      <c r="R2226" s="14">
        <v>300000</v>
      </c>
      <c r="S2226" s="14">
        <v>384000</v>
      </c>
      <c r="U2226" s="3"/>
    </row>
    <row r="2227" spans="2:21" ht="12.75" hidden="1" customHeight="1" x14ac:dyDescent="0.25">
      <c r="B2227" s="16">
        <v>44168.125</v>
      </c>
      <c r="C2227" s="50" t="s">
        <v>2116</v>
      </c>
      <c r="D2227" s="34"/>
      <c r="E2227" s="37">
        <v>6000000</v>
      </c>
      <c r="F2227" s="37"/>
      <c r="G2227" s="37">
        <f t="shared" si="408"/>
        <v>6000000</v>
      </c>
      <c r="H2227" s="64"/>
      <c r="I2227" s="64">
        <v>113028.15</v>
      </c>
      <c r="J2227" s="64">
        <v>57960</v>
      </c>
      <c r="K2227" s="18">
        <f t="shared" si="409"/>
        <v>5829011.8499999996</v>
      </c>
      <c r="L2227" s="19">
        <f t="shared" si="410"/>
        <v>16600000</v>
      </c>
      <c r="M2227" s="20"/>
      <c r="N2227" s="20"/>
      <c r="O2227" s="81"/>
      <c r="P2227" s="21">
        <v>47266675</v>
      </c>
      <c r="Q2227" s="98">
        <v>44136</v>
      </c>
      <c r="R2227" s="14">
        <v>300000</v>
      </c>
      <c r="S2227" s="14">
        <v>384000</v>
      </c>
      <c r="U2227" s="3"/>
    </row>
    <row r="2228" spans="2:21" ht="12.75" hidden="1" customHeight="1" x14ac:dyDescent="0.25">
      <c r="B2228" s="16">
        <v>44189.125</v>
      </c>
      <c r="C2228" s="50" t="s">
        <v>2117</v>
      </c>
      <c r="D2228" s="34"/>
      <c r="E2228" s="37">
        <v>6000000</v>
      </c>
      <c r="F2228" s="37"/>
      <c r="G2228" s="37">
        <f t="shared" si="408"/>
        <v>6000000</v>
      </c>
      <c r="H2228" s="64"/>
      <c r="I2228" s="64">
        <v>113028.15</v>
      </c>
      <c r="J2228" s="64">
        <v>51352.56</v>
      </c>
      <c r="K2228" s="18">
        <f t="shared" si="409"/>
        <v>5835619.29</v>
      </c>
      <c r="L2228" s="19">
        <f t="shared" si="410"/>
        <v>10600000</v>
      </c>
      <c r="M2228" s="20"/>
      <c r="N2228" s="20"/>
      <c r="O2228" s="81"/>
      <c r="P2228" s="55">
        <v>47266842</v>
      </c>
      <c r="Q2228" s="97">
        <v>44166</v>
      </c>
      <c r="R2228" s="14">
        <v>300000</v>
      </c>
      <c r="S2228" s="14">
        <v>384000</v>
      </c>
      <c r="U2228" s="3"/>
    </row>
    <row r="2229" spans="2:21" ht="12.75" hidden="1" customHeight="1" x14ac:dyDescent="0.25">
      <c r="B2229" s="16"/>
      <c r="C2229" s="50" t="s">
        <v>654</v>
      </c>
      <c r="D2229" s="34"/>
      <c r="E2229" s="37">
        <v>10600000</v>
      </c>
      <c r="F2229" s="37"/>
      <c r="G2229" s="37">
        <f t="shared" si="408"/>
        <v>10600000</v>
      </c>
      <c r="H2229" s="64"/>
      <c r="I2229" s="64"/>
      <c r="J2229" s="64"/>
      <c r="K2229" s="18">
        <f t="shared" si="409"/>
        <v>10600000</v>
      </c>
      <c r="L2229" s="19">
        <f t="shared" si="410"/>
        <v>0</v>
      </c>
      <c r="M2229" s="20"/>
      <c r="N2229" s="20"/>
      <c r="O2229" s="81"/>
      <c r="P2229" s="55"/>
      <c r="Q2229" s="97"/>
      <c r="R2229" s="14"/>
      <c r="S2229" s="14"/>
      <c r="U2229" s="3"/>
    </row>
    <row r="2230" spans="2:21" ht="15" hidden="1" x14ac:dyDescent="0.25">
      <c r="B2230" s="9" t="s">
        <v>2118</v>
      </c>
      <c r="C2230" s="10"/>
      <c r="D2230" s="11">
        <v>57150000</v>
      </c>
      <c r="E2230" s="11">
        <f>+D2230</f>
        <v>57150000</v>
      </c>
      <c r="F2230" s="11"/>
      <c r="G2230" s="11"/>
      <c r="H2230" s="11"/>
      <c r="I2230" s="11"/>
      <c r="J2230" s="11"/>
      <c r="K2230" s="11"/>
      <c r="L2230" s="11">
        <f>+D2230</f>
        <v>57150000</v>
      </c>
      <c r="M2230" s="12"/>
      <c r="N2230" s="12"/>
      <c r="P2230" s="55"/>
      <c r="Q2230" s="55"/>
      <c r="R2230" s="14"/>
      <c r="S2230" s="14"/>
    </row>
    <row r="2231" spans="2:21" ht="12.75" hidden="1" customHeight="1" x14ac:dyDescent="0.25">
      <c r="B2231" s="100">
        <v>43874.125</v>
      </c>
      <c r="C2231" s="101" t="s">
        <v>2119</v>
      </c>
      <c r="D2231" s="34"/>
      <c r="E2231" s="102">
        <v>2050000</v>
      </c>
      <c r="F2231" s="37"/>
      <c r="G2231" s="37">
        <f t="shared" ref="G2231:G2243" si="411">+E2231</f>
        <v>2050000</v>
      </c>
      <c r="H2231" s="64"/>
      <c r="I2231" s="64"/>
      <c r="J2231" s="91">
        <v>17545.46</v>
      </c>
      <c r="K2231" s="18">
        <f t="shared" ref="K2231:K2243" si="412">+G2231-H2231-I2231-J2231</f>
        <v>2032454.54</v>
      </c>
      <c r="L2231" s="19">
        <f t="shared" ref="L2231:L2243" si="413">+L2230-G2231</f>
        <v>55100000</v>
      </c>
      <c r="M2231" s="20"/>
      <c r="N2231" s="20"/>
      <c r="O2231" s="81">
        <f>+L2243-'[1]ANEXO 7 - PPTO VIG 2020'!T38</f>
        <v>0</v>
      </c>
      <c r="P2231" s="55">
        <v>9401332921</v>
      </c>
      <c r="Q2231" s="97">
        <v>43831</v>
      </c>
      <c r="R2231" s="14">
        <v>182000</v>
      </c>
      <c r="S2231" s="14">
        <v>233000</v>
      </c>
    </row>
    <row r="2232" spans="2:21" ht="12.75" hidden="1" customHeight="1" x14ac:dyDescent="0.25">
      <c r="B2232" s="100">
        <v>43895.125</v>
      </c>
      <c r="C2232" s="101" t="s">
        <v>2120</v>
      </c>
      <c r="D2232" s="34"/>
      <c r="E2232" s="102">
        <v>4100000</v>
      </c>
      <c r="F2232" s="37"/>
      <c r="G2232" s="37">
        <f t="shared" si="411"/>
        <v>4100000</v>
      </c>
      <c r="H2232" s="64"/>
      <c r="I2232" s="64"/>
      <c r="J2232" s="91">
        <v>35090.92</v>
      </c>
      <c r="K2232" s="18">
        <f t="shared" si="412"/>
        <v>4064909.08</v>
      </c>
      <c r="L2232" s="19">
        <f t="shared" si="413"/>
        <v>51000000</v>
      </c>
      <c r="M2232" s="20"/>
      <c r="N2232" s="20"/>
      <c r="O2232" s="81"/>
      <c r="P2232" s="55">
        <v>9402990563</v>
      </c>
      <c r="Q2232" s="97">
        <v>43862</v>
      </c>
      <c r="R2232" s="14">
        <v>205000</v>
      </c>
      <c r="S2232" s="14">
        <v>262400</v>
      </c>
    </row>
    <row r="2233" spans="2:21" ht="12.75" hidden="1" customHeight="1" x14ac:dyDescent="0.25">
      <c r="B2233" s="100">
        <v>43941.083333333336</v>
      </c>
      <c r="C2233" s="101" t="s">
        <v>2121</v>
      </c>
      <c r="D2233" s="34"/>
      <c r="E2233" s="102">
        <v>4100000</v>
      </c>
      <c r="F2233" s="37"/>
      <c r="G2233" s="37">
        <f t="shared" si="411"/>
        <v>4100000</v>
      </c>
      <c r="H2233" s="64"/>
      <c r="I2233" s="64"/>
      <c r="J2233" s="91">
        <v>35090.92</v>
      </c>
      <c r="K2233" s="18">
        <f t="shared" si="412"/>
        <v>4064909.08</v>
      </c>
      <c r="L2233" s="19">
        <f t="shared" si="413"/>
        <v>46900000</v>
      </c>
      <c r="M2233" s="20"/>
      <c r="N2233" s="20"/>
      <c r="O2233" s="81"/>
      <c r="P2233" s="55">
        <v>9403187530</v>
      </c>
      <c r="Q2233" s="97">
        <v>43891</v>
      </c>
      <c r="R2233" s="14">
        <v>205000</v>
      </c>
      <c r="S2233" s="14">
        <v>262400</v>
      </c>
    </row>
    <row r="2234" spans="2:21" ht="12.75" hidden="1" customHeight="1" x14ac:dyDescent="0.25">
      <c r="B2234" s="100">
        <v>43956.083333333336</v>
      </c>
      <c r="C2234" s="101" t="s">
        <v>2122</v>
      </c>
      <c r="D2234" s="34"/>
      <c r="E2234" s="102">
        <v>4100000</v>
      </c>
      <c r="F2234" s="37"/>
      <c r="G2234" s="37">
        <f t="shared" si="411"/>
        <v>4100000</v>
      </c>
      <c r="H2234" s="64"/>
      <c r="I2234" s="64"/>
      <c r="J2234" s="91">
        <v>35090.92</v>
      </c>
      <c r="K2234" s="18">
        <f t="shared" si="412"/>
        <v>4064909.08</v>
      </c>
      <c r="L2234" s="19">
        <f t="shared" si="413"/>
        <v>42800000</v>
      </c>
      <c r="M2234" s="20"/>
      <c r="N2234" s="20"/>
      <c r="O2234" s="81"/>
      <c r="P2234" s="55">
        <v>9405157079</v>
      </c>
      <c r="Q2234" s="97">
        <v>43922</v>
      </c>
      <c r="R2234" s="14">
        <v>205000</v>
      </c>
      <c r="S2234" s="14">
        <v>262400</v>
      </c>
    </row>
    <row r="2235" spans="2:21" ht="12.75" hidden="1" customHeight="1" x14ac:dyDescent="0.25">
      <c r="B2235" s="100">
        <v>43987.083333333336</v>
      </c>
      <c r="C2235" s="101" t="s">
        <v>2123</v>
      </c>
      <c r="D2235" s="34"/>
      <c r="E2235" s="102">
        <v>4100000</v>
      </c>
      <c r="F2235" s="37"/>
      <c r="G2235" s="37">
        <f t="shared" si="411"/>
        <v>4100000</v>
      </c>
      <c r="H2235" s="64"/>
      <c r="I2235" s="64"/>
      <c r="J2235" s="91">
        <v>35090.92</v>
      </c>
      <c r="K2235" s="18">
        <f t="shared" si="412"/>
        <v>4064909.08</v>
      </c>
      <c r="L2235" s="19">
        <f t="shared" si="413"/>
        <v>38700000</v>
      </c>
      <c r="M2235" s="20"/>
      <c r="N2235" s="20"/>
      <c r="O2235" s="81"/>
      <c r="P2235" s="55">
        <v>9406457833</v>
      </c>
      <c r="Q2235" s="97">
        <v>43952</v>
      </c>
      <c r="R2235" s="14">
        <v>205000</v>
      </c>
      <c r="S2235" s="14">
        <v>262400</v>
      </c>
    </row>
    <row r="2236" spans="2:21" ht="12.75" hidden="1" customHeight="1" x14ac:dyDescent="0.25">
      <c r="B2236" s="100">
        <v>44020.083333333336</v>
      </c>
      <c r="C2236" s="101" t="s">
        <v>2124</v>
      </c>
      <c r="D2236" s="34"/>
      <c r="E2236" s="102">
        <v>4100000</v>
      </c>
      <c r="F2236" s="37"/>
      <c r="G2236" s="37">
        <f t="shared" si="411"/>
        <v>4100000</v>
      </c>
      <c r="H2236" s="64"/>
      <c r="I2236" s="64"/>
      <c r="J2236" s="91">
        <v>35090.92</v>
      </c>
      <c r="K2236" s="18">
        <f t="shared" si="412"/>
        <v>4064909.08</v>
      </c>
      <c r="L2236" s="19">
        <f t="shared" si="413"/>
        <v>34600000</v>
      </c>
      <c r="M2236" s="20"/>
      <c r="N2236" s="20"/>
      <c r="O2236" s="81"/>
      <c r="P2236" s="55">
        <v>9407414405</v>
      </c>
      <c r="Q2236" s="97">
        <v>43983</v>
      </c>
      <c r="R2236" s="14">
        <v>205000</v>
      </c>
      <c r="S2236" s="14">
        <v>262400</v>
      </c>
    </row>
    <row r="2237" spans="2:21" ht="12.75" hidden="1" customHeight="1" x14ac:dyDescent="0.25">
      <c r="B2237" s="100">
        <v>44048.083333333336</v>
      </c>
      <c r="C2237" s="101" t="s">
        <v>2125</v>
      </c>
      <c r="D2237" s="34"/>
      <c r="E2237" s="102">
        <v>4100000</v>
      </c>
      <c r="F2237" s="37"/>
      <c r="G2237" s="37">
        <f t="shared" si="411"/>
        <v>4100000</v>
      </c>
      <c r="H2237" s="64"/>
      <c r="I2237" s="64"/>
      <c r="J2237" s="91">
        <v>35090.92</v>
      </c>
      <c r="K2237" s="18">
        <f t="shared" si="412"/>
        <v>4064909.08</v>
      </c>
      <c r="L2237" s="19">
        <f t="shared" si="413"/>
        <v>30500000</v>
      </c>
      <c r="M2237" s="20"/>
      <c r="N2237" s="20"/>
      <c r="O2237" s="81"/>
      <c r="P2237" s="55">
        <v>9407542064</v>
      </c>
      <c r="Q2237" s="97">
        <v>44013</v>
      </c>
      <c r="R2237" s="14">
        <v>205000</v>
      </c>
      <c r="S2237" s="14">
        <v>262400</v>
      </c>
    </row>
    <row r="2238" spans="2:21" ht="12.75" hidden="1" customHeight="1" x14ac:dyDescent="0.25">
      <c r="B2238" s="100">
        <v>44077.083333333336</v>
      </c>
      <c r="C2238" s="101" t="s">
        <v>2126</v>
      </c>
      <c r="D2238" s="34"/>
      <c r="E2238" s="102">
        <v>4100000</v>
      </c>
      <c r="F2238" s="37"/>
      <c r="G2238" s="37">
        <f t="shared" si="411"/>
        <v>4100000</v>
      </c>
      <c r="H2238" s="64"/>
      <c r="I2238" s="64"/>
      <c r="J2238" s="91">
        <v>35090.92</v>
      </c>
      <c r="K2238" s="18">
        <f t="shared" si="412"/>
        <v>4064909.08</v>
      </c>
      <c r="L2238" s="19">
        <f t="shared" si="413"/>
        <v>26400000</v>
      </c>
      <c r="M2238" s="20"/>
      <c r="N2238" s="20"/>
      <c r="O2238" s="81"/>
      <c r="P2238" s="55">
        <v>9409492189</v>
      </c>
      <c r="Q2238" s="97">
        <v>44044</v>
      </c>
      <c r="R2238" s="14">
        <v>205000</v>
      </c>
      <c r="S2238" s="14">
        <v>262400</v>
      </c>
    </row>
    <row r="2239" spans="2:21" ht="12.75" hidden="1" customHeight="1" x14ac:dyDescent="0.25">
      <c r="B2239" s="100">
        <v>44109.083333333336</v>
      </c>
      <c r="C2239" s="101" t="s">
        <v>2127</v>
      </c>
      <c r="D2239" s="34"/>
      <c r="E2239" s="102">
        <v>4100000</v>
      </c>
      <c r="F2239" s="37"/>
      <c r="G2239" s="37">
        <f t="shared" si="411"/>
        <v>4100000</v>
      </c>
      <c r="H2239" s="64"/>
      <c r="I2239" s="64"/>
      <c r="J2239" s="91">
        <v>35090.92</v>
      </c>
      <c r="K2239" s="18">
        <f t="shared" si="412"/>
        <v>4064909.08</v>
      </c>
      <c r="L2239" s="19">
        <f t="shared" si="413"/>
        <v>22300000</v>
      </c>
      <c r="M2239" s="20"/>
      <c r="N2239" s="20"/>
      <c r="O2239" s="81"/>
      <c r="P2239" s="55">
        <v>9409707078</v>
      </c>
      <c r="Q2239" s="97">
        <v>44075</v>
      </c>
      <c r="R2239" s="14">
        <v>205000</v>
      </c>
      <c r="S2239" s="14">
        <v>262400</v>
      </c>
    </row>
    <row r="2240" spans="2:21" ht="12.75" hidden="1" customHeight="1" x14ac:dyDescent="0.25">
      <c r="B2240" s="100">
        <v>44141.125</v>
      </c>
      <c r="C2240" s="101" t="s">
        <v>2128</v>
      </c>
      <c r="D2240" s="34"/>
      <c r="E2240" s="102">
        <v>4100000</v>
      </c>
      <c r="F2240" s="37"/>
      <c r="G2240" s="37">
        <f t="shared" si="411"/>
        <v>4100000</v>
      </c>
      <c r="H2240" s="64"/>
      <c r="I2240" s="64"/>
      <c r="J2240" s="91">
        <v>35090.92</v>
      </c>
      <c r="K2240" s="18">
        <f t="shared" si="412"/>
        <v>4064909.08</v>
      </c>
      <c r="L2240" s="19">
        <f t="shared" si="413"/>
        <v>18200000</v>
      </c>
      <c r="M2240" s="20"/>
      <c r="N2240" s="20"/>
      <c r="O2240" s="81"/>
      <c r="P2240" s="55">
        <v>9410796415</v>
      </c>
      <c r="Q2240" s="97">
        <v>44105</v>
      </c>
      <c r="R2240" s="14">
        <v>205000</v>
      </c>
      <c r="S2240" s="14">
        <v>262400</v>
      </c>
    </row>
    <row r="2241" spans="2:19" ht="12.75" hidden="1" customHeight="1" x14ac:dyDescent="0.25">
      <c r="B2241" s="100">
        <v>44168.125</v>
      </c>
      <c r="C2241" s="101" t="s">
        <v>2129</v>
      </c>
      <c r="D2241" s="34"/>
      <c r="E2241" s="102">
        <v>4100000</v>
      </c>
      <c r="F2241" s="37"/>
      <c r="G2241" s="37">
        <f t="shared" si="411"/>
        <v>4100000</v>
      </c>
      <c r="H2241" s="64"/>
      <c r="I2241" s="64"/>
      <c r="J2241" s="91">
        <v>35090.92</v>
      </c>
      <c r="K2241" s="18">
        <f t="shared" si="412"/>
        <v>4064909.08</v>
      </c>
      <c r="L2241" s="19">
        <f t="shared" si="413"/>
        <v>14100000</v>
      </c>
      <c r="M2241" s="20"/>
      <c r="N2241" s="20"/>
      <c r="O2241" s="81"/>
      <c r="P2241" s="55">
        <v>9411888429</v>
      </c>
      <c r="Q2241" s="97">
        <v>44136</v>
      </c>
      <c r="R2241" s="14">
        <v>205000</v>
      </c>
      <c r="S2241" s="14">
        <v>262400</v>
      </c>
    </row>
    <row r="2242" spans="2:19" ht="12.75" hidden="1" customHeight="1" x14ac:dyDescent="0.25">
      <c r="B2242" s="100">
        <v>44189.125</v>
      </c>
      <c r="C2242" s="101" t="s">
        <v>2130</v>
      </c>
      <c r="D2242" s="34"/>
      <c r="E2242" s="102">
        <v>4100000</v>
      </c>
      <c r="F2242" s="37"/>
      <c r="G2242" s="37">
        <f t="shared" si="411"/>
        <v>4100000</v>
      </c>
      <c r="H2242" s="64"/>
      <c r="I2242" s="64"/>
      <c r="J2242" s="91">
        <v>35090.92</v>
      </c>
      <c r="K2242" s="18">
        <f t="shared" si="412"/>
        <v>4064909.08</v>
      </c>
      <c r="L2242" s="19">
        <f t="shared" si="413"/>
        <v>10000000</v>
      </c>
      <c r="M2242" s="20"/>
      <c r="N2242" s="20"/>
      <c r="O2242" s="81"/>
      <c r="P2242" s="55">
        <v>9413042005</v>
      </c>
      <c r="Q2242" s="97">
        <v>44166</v>
      </c>
      <c r="R2242" s="14">
        <v>205000</v>
      </c>
      <c r="S2242" s="14">
        <v>262400</v>
      </c>
    </row>
    <row r="2243" spans="2:19" ht="12.75" hidden="1" customHeight="1" x14ac:dyDescent="0.25">
      <c r="B2243" s="100"/>
      <c r="C2243" s="101" t="s">
        <v>654</v>
      </c>
      <c r="D2243" s="34"/>
      <c r="E2243" s="102">
        <v>10000000</v>
      </c>
      <c r="F2243" s="37"/>
      <c r="G2243" s="37">
        <f t="shared" si="411"/>
        <v>10000000</v>
      </c>
      <c r="H2243" s="64"/>
      <c r="I2243" s="64"/>
      <c r="J2243" s="91"/>
      <c r="K2243" s="18">
        <f t="shared" si="412"/>
        <v>10000000</v>
      </c>
      <c r="L2243" s="19">
        <f t="shared" si="413"/>
        <v>0</v>
      </c>
      <c r="M2243" s="20"/>
      <c r="N2243" s="20"/>
      <c r="O2243" s="81"/>
      <c r="P2243" s="55"/>
      <c r="Q2243" s="97"/>
      <c r="R2243" s="14"/>
      <c r="S2243" s="14"/>
    </row>
    <row r="2244" spans="2:19" ht="15" hidden="1" x14ac:dyDescent="0.25">
      <c r="B2244" s="9" t="s">
        <v>2131</v>
      </c>
      <c r="C2244" s="10"/>
      <c r="D2244" s="11">
        <v>119600000</v>
      </c>
      <c r="E2244" s="11">
        <f>+D2244</f>
        <v>119600000</v>
      </c>
      <c r="F2244" s="11"/>
      <c r="G2244" s="11"/>
      <c r="H2244" s="11"/>
      <c r="I2244" s="11"/>
      <c r="J2244" s="11"/>
      <c r="K2244" s="11"/>
      <c r="L2244" s="11">
        <f>+D2244</f>
        <v>119600000</v>
      </c>
      <c r="M2244" s="12"/>
      <c r="N2244" s="12"/>
      <c r="P2244" s="55"/>
      <c r="Q2244" s="55"/>
      <c r="R2244" s="14"/>
      <c r="S2244" s="14"/>
    </row>
    <row r="2245" spans="2:19" ht="12.75" hidden="1" customHeight="1" x14ac:dyDescent="0.25">
      <c r="B2245" s="100">
        <v>43875.125</v>
      </c>
      <c r="C2245" s="101" t="s">
        <v>2132</v>
      </c>
      <c r="D2245" s="34"/>
      <c r="E2245" s="37">
        <v>4160000</v>
      </c>
      <c r="F2245" s="37"/>
      <c r="G2245" s="37">
        <f>+E2245</f>
        <v>4160000</v>
      </c>
      <c r="H2245" s="64"/>
      <c r="I2245" s="64"/>
      <c r="J2245" s="64">
        <v>35604.44</v>
      </c>
      <c r="K2245" s="18">
        <f>+G2245-H2245-I2245-J2245</f>
        <v>4124395.56</v>
      </c>
      <c r="L2245" s="19">
        <f>+L2244-G2245</f>
        <v>115440000</v>
      </c>
      <c r="M2245" s="20"/>
      <c r="N2245" s="20"/>
      <c r="O2245" s="81">
        <f>+L2249-'[1]ANEXO 7 - PPTO VIG 2020'!T106</f>
        <v>0</v>
      </c>
      <c r="P2245" s="55">
        <v>1027034304</v>
      </c>
      <c r="Q2245" s="97">
        <v>43831</v>
      </c>
      <c r="R2245" s="14">
        <v>260200</v>
      </c>
      <c r="S2245" s="14">
        <v>333100</v>
      </c>
    </row>
    <row r="2246" spans="2:19" ht="12.75" hidden="1" customHeight="1" x14ac:dyDescent="0.25">
      <c r="B2246" s="100">
        <v>43899.083333333336</v>
      </c>
      <c r="C2246" s="101" t="s">
        <v>2133</v>
      </c>
      <c r="D2246" s="34"/>
      <c r="E2246" s="37">
        <v>10400000</v>
      </c>
      <c r="F2246" s="37"/>
      <c r="G2246" s="37">
        <f>+E2246</f>
        <v>10400000</v>
      </c>
      <c r="H2246" s="64"/>
      <c r="I2246" s="64">
        <v>563885.98</v>
      </c>
      <c r="J2246" s="64">
        <v>89011.1</v>
      </c>
      <c r="K2246" s="18">
        <f>+G2246-H2246-I2246-J2246</f>
        <v>9747102.9199999999</v>
      </c>
      <c r="L2246" s="19">
        <f>+L2245-G2246</f>
        <v>105040000</v>
      </c>
      <c r="M2246" s="20"/>
      <c r="N2246" s="20"/>
      <c r="O2246" s="81"/>
      <c r="P2246" s="55">
        <v>1027757938</v>
      </c>
      <c r="Q2246" s="97">
        <v>43862</v>
      </c>
      <c r="R2246" s="14">
        <v>520000</v>
      </c>
      <c r="S2246" s="14">
        <v>665600</v>
      </c>
    </row>
    <row r="2247" spans="2:19" ht="12.75" hidden="1" customHeight="1" x14ac:dyDescent="0.25">
      <c r="B2247" s="100">
        <v>43937.083333333336</v>
      </c>
      <c r="C2247" s="101" t="s">
        <v>2134</v>
      </c>
      <c r="D2247" s="34"/>
      <c r="E2247" s="37">
        <v>10400000</v>
      </c>
      <c r="F2247" s="37"/>
      <c r="G2247" s="37">
        <f>+E2247</f>
        <v>10400000</v>
      </c>
      <c r="H2247" s="64"/>
      <c r="I2247" s="64">
        <v>563885.98</v>
      </c>
      <c r="J2247" s="64">
        <v>89011.1</v>
      </c>
      <c r="K2247" s="18">
        <f>+G2247-H2247-I2247-J2247</f>
        <v>9747102.9199999999</v>
      </c>
      <c r="L2247" s="19">
        <f>+L2246-G2247</f>
        <v>94640000</v>
      </c>
      <c r="M2247" s="20"/>
      <c r="N2247" s="20"/>
      <c r="O2247" s="81"/>
      <c r="P2247" s="55">
        <v>1028318636</v>
      </c>
      <c r="Q2247" s="97">
        <v>43891</v>
      </c>
      <c r="R2247" s="14">
        <v>520000</v>
      </c>
      <c r="S2247" s="14">
        <v>665600</v>
      </c>
    </row>
    <row r="2248" spans="2:19" ht="12.75" hidden="1" customHeight="1" x14ac:dyDescent="0.25">
      <c r="B2248" s="100">
        <v>43987.083333333336</v>
      </c>
      <c r="C2248" s="101" t="s">
        <v>2135</v>
      </c>
      <c r="D2248" s="34"/>
      <c r="E2248" s="37">
        <v>7973333</v>
      </c>
      <c r="F2248" s="37"/>
      <c r="G2248" s="37">
        <v>7973333</v>
      </c>
      <c r="H2248" s="64"/>
      <c r="I2248" s="64">
        <v>247967.08</v>
      </c>
      <c r="J2248" s="64">
        <v>68241.84</v>
      </c>
      <c r="K2248" s="18">
        <f>+G2248-H2248-I2248-J2248</f>
        <v>7657124.0800000001</v>
      </c>
      <c r="L2248" s="19">
        <f>+L2247-G2248</f>
        <v>86666667</v>
      </c>
      <c r="M2248" s="20"/>
      <c r="N2248" s="20"/>
      <c r="O2248" s="81"/>
      <c r="P2248" s="55">
        <v>1029280193</v>
      </c>
      <c r="Q2248" s="97">
        <v>43922</v>
      </c>
      <c r="R2248" s="14">
        <v>346800</v>
      </c>
      <c r="S2248" s="14">
        <v>443900</v>
      </c>
    </row>
    <row r="2249" spans="2:19" ht="12.75" hidden="1" customHeight="1" x14ac:dyDescent="0.25">
      <c r="B2249" s="100"/>
      <c r="C2249" s="101" t="s">
        <v>654</v>
      </c>
      <c r="D2249" s="34"/>
      <c r="E2249" s="37">
        <v>86666667</v>
      </c>
      <c r="F2249" s="37"/>
      <c r="G2249" s="37">
        <v>86666667</v>
      </c>
      <c r="H2249" s="64"/>
      <c r="I2249" s="64"/>
      <c r="J2249" s="64"/>
      <c r="K2249" s="18"/>
      <c r="L2249" s="19">
        <f>+L2248-G2249</f>
        <v>0</v>
      </c>
      <c r="M2249" s="20"/>
      <c r="N2249" s="20"/>
      <c r="O2249" s="81"/>
      <c r="P2249" s="55"/>
      <c r="Q2249" s="97"/>
      <c r="R2249" s="14"/>
      <c r="S2249" s="14"/>
    </row>
    <row r="2250" spans="2:19" ht="15" hidden="1" x14ac:dyDescent="0.25">
      <c r="B2250" s="9" t="s">
        <v>2136</v>
      </c>
      <c r="C2250" s="10"/>
      <c r="D2250" s="11">
        <v>117750000</v>
      </c>
      <c r="E2250" s="11">
        <f>+D2250</f>
        <v>117750000</v>
      </c>
      <c r="F2250" s="11"/>
      <c r="G2250" s="11"/>
      <c r="H2250" s="11"/>
      <c r="I2250" s="11"/>
      <c r="J2250" s="11"/>
      <c r="K2250" s="11"/>
      <c r="L2250" s="11">
        <f>+D2250</f>
        <v>117750000</v>
      </c>
      <c r="M2250" s="12"/>
      <c r="N2250" s="12"/>
      <c r="P2250" s="55"/>
      <c r="Q2250" s="55"/>
      <c r="R2250" s="14"/>
      <c r="S2250" s="14"/>
    </row>
    <row r="2251" spans="2:19" ht="12.75" hidden="1" customHeight="1" x14ac:dyDescent="0.25">
      <c r="B2251" s="100">
        <v>43874.125</v>
      </c>
      <c r="C2251" s="101" t="s">
        <v>2137</v>
      </c>
      <c r="D2251" s="34"/>
      <c r="E2251" s="37">
        <v>3400000</v>
      </c>
      <c r="F2251" s="37"/>
      <c r="G2251" s="37">
        <f>+E2251</f>
        <v>3400000</v>
      </c>
      <c r="H2251" s="64"/>
      <c r="I2251" s="64"/>
      <c r="J2251" s="64">
        <v>29099.78</v>
      </c>
      <c r="K2251" s="18">
        <f>+G2251-H2251-I2251-J2251</f>
        <v>3370900.22</v>
      </c>
      <c r="L2251" s="19">
        <f>+L2250-G2251</f>
        <v>114350000</v>
      </c>
      <c r="M2251" s="20"/>
      <c r="N2251" s="20"/>
      <c r="O2251" s="81">
        <f>+L2255-'[1]ANEXO 7 - PPTO VIG 2020'!T25</f>
        <v>0</v>
      </c>
      <c r="P2251" s="55">
        <v>1027175556</v>
      </c>
      <c r="Q2251" s="97">
        <v>43831</v>
      </c>
      <c r="R2251" s="14">
        <v>155900</v>
      </c>
      <c r="S2251" s="14">
        <v>199500</v>
      </c>
    </row>
    <row r="2252" spans="2:19" ht="12.75" hidden="1" customHeight="1" x14ac:dyDescent="0.25">
      <c r="B2252" s="100">
        <v>43896.125</v>
      </c>
      <c r="C2252" s="101" t="s">
        <v>2138</v>
      </c>
      <c r="D2252" s="34"/>
      <c r="E2252" s="37">
        <v>8500000</v>
      </c>
      <c r="F2252" s="37"/>
      <c r="G2252" s="37">
        <f>+E2252</f>
        <v>8500000</v>
      </c>
      <c r="H2252" s="64"/>
      <c r="I2252" s="64">
        <v>438347.99</v>
      </c>
      <c r="J2252" s="64">
        <v>72749.460000000006</v>
      </c>
      <c r="K2252" s="18">
        <f>+G2252-H2252-I2252-J2252</f>
        <v>7988902.5499999998</v>
      </c>
      <c r="L2252" s="19">
        <f>+L2251-G2252</f>
        <v>105850000</v>
      </c>
      <c r="M2252" s="20"/>
      <c r="N2252" s="20"/>
      <c r="O2252" s="81"/>
      <c r="P2252" s="55">
        <v>1027771337</v>
      </c>
      <c r="Q2252" s="97">
        <v>43862</v>
      </c>
      <c r="R2252" s="14">
        <v>425000</v>
      </c>
      <c r="S2252" s="14">
        <v>544000</v>
      </c>
    </row>
    <row r="2253" spans="2:19" ht="12.75" hidden="1" customHeight="1" x14ac:dyDescent="0.25">
      <c r="B2253" s="100">
        <v>43929.083333333336</v>
      </c>
      <c r="C2253" s="101" t="s">
        <v>2139</v>
      </c>
      <c r="D2253" s="34"/>
      <c r="E2253" s="37">
        <v>8500000</v>
      </c>
      <c r="F2253" s="37"/>
      <c r="G2253" s="37">
        <f>+E2253</f>
        <v>8500000</v>
      </c>
      <c r="H2253" s="64"/>
      <c r="I2253" s="64">
        <v>438347.99</v>
      </c>
      <c r="J2253" s="64">
        <v>72749.460000000006</v>
      </c>
      <c r="K2253" s="18">
        <f>+G2253-H2253-I2253-J2253</f>
        <v>7988902.5499999998</v>
      </c>
      <c r="L2253" s="19">
        <f>+L2252-G2253</f>
        <v>97350000</v>
      </c>
      <c r="M2253" s="20"/>
      <c r="N2253" s="20"/>
      <c r="O2253" s="81"/>
      <c r="P2253" s="55">
        <v>1027811197</v>
      </c>
      <c r="Q2253" s="97">
        <v>43891</v>
      </c>
      <c r="R2253" s="14">
        <v>425500</v>
      </c>
      <c r="S2253" s="14">
        <v>544000</v>
      </c>
    </row>
    <row r="2254" spans="2:19" ht="12.75" hidden="1" customHeight="1" x14ac:dyDescent="0.25">
      <c r="B2254" s="100">
        <v>43971.083333333336</v>
      </c>
      <c r="C2254" s="101" t="s">
        <v>2140</v>
      </c>
      <c r="D2254" s="34"/>
      <c r="E2254" s="37">
        <v>8500000</v>
      </c>
      <c r="F2254" s="37"/>
      <c r="G2254" s="37">
        <f>+E2254</f>
        <v>8500000</v>
      </c>
      <c r="H2254" s="64"/>
      <c r="I2254" s="64">
        <v>438138.01</v>
      </c>
      <c r="J2254" s="64">
        <v>72749.460000000006</v>
      </c>
      <c r="K2254" s="18">
        <f>+G2254-H2254-I2254-J2254</f>
        <v>7989112.5300000003</v>
      </c>
      <c r="L2254" s="19">
        <f>+L2253-G2254</f>
        <v>88850000</v>
      </c>
      <c r="M2254" s="20"/>
      <c r="N2254" s="20"/>
      <c r="O2254" s="81"/>
      <c r="P2254" s="55"/>
      <c r="Q2254" s="97"/>
      <c r="R2254" s="14"/>
      <c r="S2254" s="14"/>
    </row>
    <row r="2255" spans="2:19" ht="12.75" hidden="1" customHeight="1" x14ac:dyDescent="0.25">
      <c r="B2255" s="100"/>
      <c r="C2255" s="101" t="s">
        <v>654</v>
      </c>
      <c r="D2255" s="34"/>
      <c r="E2255" s="37">
        <v>88850000</v>
      </c>
      <c r="F2255" s="37"/>
      <c r="G2255" s="37">
        <f>+E2255</f>
        <v>88850000</v>
      </c>
      <c r="H2255" s="64"/>
      <c r="I2255" s="64"/>
      <c r="J2255" s="64"/>
      <c r="K2255" s="18"/>
      <c r="L2255" s="19">
        <f>+L2254-G2255</f>
        <v>0</v>
      </c>
      <c r="M2255" s="20"/>
      <c r="N2255" s="20"/>
      <c r="O2255" s="81"/>
      <c r="P2255" s="55"/>
      <c r="Q2255" s="97"/>
      <c r="R2255" s="14"/>
      <c r="S2255" s="14"/>
    </row>
    <row r="2256" spans="2:19" ht="15" hidden="1" x14ac:dyDescent="0.25">
      <c r="B2256" s="9" t="s">
        <v>2141</v>
      </c>
      <c r="C2256" s="10"/>
      <c r="D2256" s="11">
        <v>100400000</v>
      </c>
      <c r="E2256" s="11">
        <f>+D2256</f>
        <v>100400000</v>
      </c>
      <c r="F2256" s="11"/>
      <c r="G2256" s="11"/>
      <c r="H2256" s="11"/>
      <c r="I2256" s="11"/>
      <c r="J2256" s="11"/>
      <c r="K2256" s="11"/>
      <c r="L2256" s="11">
        <f>+D2256</f>
        <v>100400000</v>
      </c>
      <c r="M2256" s="12"/>
      <c r="N2256" s="12"/>
      <c r="P2256" s="55"/>
      <c r="Q2256" s="55"/>
      <c r="R2256" s="14"/>
      <c r="S2256" s="14"/>
    </row>
    <row r="2257" spans="2:20" ht="12.75" hidden="1" customHeight="1" x14ac:dyDescent="0.25">
      <c r="B2257" s="100">
        <v>43875.125</v>
      </c>
      <c r="C2257" s="101" t="s">
        <v>2142</v>
      </c>
      <c r="D2257" s="34"/>
      <c r="E2257" s="37">
        <v>2400000</v>
      </c>
      <c r="F2257" s="37"/>
      <c r="G2257" s="37">
        <f t="shared" ref="G2257:G2270" si="414">+E2257</f>
        <v>2400000</v>
      </c>
      <c r="H2257" s="64"/>
      <c r="I2257" s="64"/>
      <c r="J2257" s="64">
        <v>20541.02</v>
      </c>
      <c r="K2257" s="18">
        <f t="shared" ref="K2257:K2270" si="415">+G2257-H2257-I2257-J2257</f>
        <v>2379458.98</v>
      </c>
      <c r="L2257" s="19">
        <f t="shared" ref="L2257:L2270" si="416">+L2256-G2257</f>
        <v>98000000</v>
      </c>
      <c r="M2257" s="20"/>
      <c r="N2257" s="20"/>
      <c r="O2257" s="81">
        <f>+L2270-'[1]ANEXO 7 - PPTO VIG 2020'!T39</f>
        <v>0</v>
      </c>
      <c r="P2257" s="55">
        <v>40300757</v>
      </c>
      <c r="Q2257" s="97">
        <v>43831</v>
      </c>
      <c r="R2257" s="14">
        <v>120000</v>
      </c>
      <c r="S2257" s="14">
        <v>153600</v>
      </c>
    </row>
    <row r="2258" spans="2:20" ht="12.75" hidden="1" customHeight="1" x14ac:dyDescent="0.25">
      <c r="B2258" s="100">
        <v>43894.125</v>
      </c>
      <c r="C2258" s="101" t="s">
        <v>2143</v>
      </c>
      <c r="D2258" s="34"/>
      <c r="E2258" s="37">
        <v>8000000</v>
      </c>
      <c r="F2258" s="37"/>
      <c r="G2258" s="37">
        <f t="shared" si="414"/>
        <v>8000000</v>
      </c>
      <c r="H2258" s="64"/>
      <c r="I2258" s="64">
        <v>364939.67</v>
      </c>
      <c r="J2258" s="64">
        <v>68470.080000000002</v>
      </c>
      <c r="K2258" s="18">
        <f t="shared" si="415"/>
        <v>7566590.25</v>
      </c>
      <c r="L2258" s="19">
        <f t="shared" si="416"/>
        <v>90000000</v>
      </c>
      <c r="M2258" s="20"/>
      <c r="N2258" s="20"/>
      <c r="O2258" s="81"/>
      <c r="P2258" s="55">
        <v>40691896</v>
      </c>
      <c r="Q2258" s="97">
        <v>43862</v>
      </c>
      <c r="R2258" s="14">
        <v>400000</v>
      </c>
      <c r="S2258" s="14">
        <v>512000</v>
      </c>
    </row>
    <row r="2259" spans="2:20" ht="12.75" hidden="1" customHeight="1" x14ac:dyDescent="0.25">
      <c r="B2259" s="100">
        <v>43900.083333333336</v>
      </c>
      <c r="C2259" s="101" t="s">
        <v>2144</v>
      </c>
      <c r="D2259" s="34"/>
      <c r="E2259" s="37">
        <v>1287193</v>
      </c>
      <c r="F2259" s="37"/>
      <c r="G2259" s="37">
        <f t="shared" si="414"/>
        <v>1287193</v>
      </c>
      <c r="H2259" s="64"/>
      <c r="I2259" s="64">
        <v>145317.15</v>
      </c>
      <c r="J2259" s="64">
        <v>4314.33</v>
      </c>
      <c r="K2259" s="18">
        <f t="shared" si="415"/>
        <v>1137561.52</v>
      </c>
      <c r="L2259" s="19">
        <f t="shared" si="416"/>
        <v>88712807</v>
      </c>
      <c r="M2259" s="20"/>
      <c r="N2259" s="20"/>
      <c r="O2259" s="81"/>
      <c r="P2259" s="244" t="s">
        <v>2145</v>
      </c>
      <c r="Q2259" s="245"/>
      <c r="R2259" s="245"/>
      <c r="S2259" s="246"/>
    </row>
    <row r="2260" spans="2:20" ht="12.75" hidden="1" customHeight="1" x14ac:dyDescent="0.25">
      <c r="B2260" s="100">
        <v>43929.083333333336</v>
      </c>
      <c r="C2260" s="101" t="s">
        <v>2146</v>
      </c>
      <c r="D2260" s="34"/>
      <c r="E2260" s="37">
        <v>8000000</v>
      </c>
      <c r="F2260" s="37"/>
      <c r="G2260" s="37">
        <f t="shared" si="414"/>
        <v>8000000</v>
      </c>
      <c r="H2260" s="64"/>
      <c r="I2260" s="64">
        <v>364939.67</v>
      </c>
      <c r="J2260" s="64">
        <v>68470.080000000002</v>
      </c>
      <c r="K2260" s="18">
        <f t="shared" si="415"/>
        <v>7566590.25</v>
      </c>
      <c r="L2260" s="19">
        <f t="shared" si="416"/>
        <v>80712807</v>
      </c>
      <c r="M2260" s="20"/>
      <c r="N2260" s="20"/>
      <c r="O2260" s="81"/>
      <c r="P2260" s="103">
        <v>41112760</v>
      </c>
      <c r="Q2260" s="104">
        <v>43891</v>
      </c>
      <c r="R2260" s="105">
        <v>400000</v>
      </c>
      <c r="S2260" s="106">
        <v>512000</v>
      </c>
    </row>
    <row r="2261" spans="2:20" ht="12.75" hidden="1" customHeight="1" x14ac:dyDescent="0.25">
      <c r="B2261" s="100">
        <v>43958.083333333336</v>
      </c>
      <c r="C2261" s="101" t="s">
        <v>2147</v>
      </c>
      <c r="D2261" s="34"/>
      <c r="E2261" s="37">
        <v>8000000</v>
      </c>
      <c r="F2261" s="37"/>
      <c r="G2261" s="37">
        <f t="shared" si="414"/>
        <v>8000000</v>
      </c>
      <c r="H2261" s="64"/>
      <c r="I2261" s="64">
        <v>364939.67</v>
      </c>
      <c r="J2261" s="64">
        <v>68470.080000000002</v>
      </c>
      <c r="K2261" s="18">
        <f t="shared" si="415"/>
        <v>7566590.25</v>
      </c>
      <c r="L2261" s="19">
        <f t="shared" si="416"/>
        <v>72712807</v>
      </c>
      <c r="M2261" s="20"/>
      <c r="N2261" s="20"/>
      <c r="O2261" s="81"/>
      <c r="P2261" s="103" t="s">
        <v>2148</v>
      </c>
      <c r="Q2261" s="104">
        <v>43922</v>
      </c>
      <c r="R2261" s="105">
        <v>400000</v>
      </c>
      <c r="S2261" s="106">
        <v>512000</v>
      </c>
    </row>
    <row r="2262" spans="2:20" ht="12.75" hidden="1" customHeight="1" x14ac:dyDescent="0.25">
      <c r="B2262" s="100">
        <v>43991.083333333336</v>
      </c>
      <c r="C2262" s="101" t="s">
        <v>2149</v>
      </c>
      <c r="D2262" s="34"/>
      <c r="E2262" s="37">
        <v>8000000</v>
      </c>
      <c r="F2262" s="37"/>
      <c r="G2262" s="37">
        <f t="shared" si="414"/>
        <v>8000000</v>
      </c>
      <c r="H2262" s="64"/>
      <c r="I2262" s="64">
        <v>364939.67</v>
      </c>
      <c r="J2262" s="64">
        <v>68470.080000000002</v>
      </c>
      <c r="K2262" s="18">
        <f t="shared" si="415"/>
        <v>7566590.25</v>
      </c>
      <c r="L2262" s="19">
        <f t="shared" si="416"/>
        <v>64712807</v>
      </c>
      <c r="M2262" s="20"/>
      <c r="N2262" s="20"/>
      <c r="O2262" s="81"/>
      <c r="P2262" s="103">
        <v>42885684</v>
      </c>
      <c r="Q2262" s="104">
        <v>43952</v>
      </c>
      <c r="R2262" s="105">
        <v>400000</v>
      </c>
      <c r="S2262" s="106">
        <v>512000</v>
      </c>
    </row>
    <row r="2263" spans="2:20" ht="12.75" hidden="1" customHeight="1" x14ac:dyDescent="0.25">
      <c r="B2263" s="100">
        <v>44020.083333333336</v>
      </c>
      <c r="C2263" s="101" t="s">
        <v>2150</v>
      </c>
      <c r="D2263" s="34"/>
      <c r="E2263" s="37">
        <v>8000000</v>
      </c>
      <c r="F2263" s="37"/>
      <c r="G2263" s="37">
        <f t="shared" si="414"/>
        <v>8000000</v>
      </c>
      <c r="H2263" s="64"/>
      <c r="I2263" s="64">
        <v>364939.67</v>
      </c>
      <c r="J2263" s="64">
        <v>68470.080000000002</v>
      </c>
      <c r="K2263" s="18">
        <f t="shared" si="415"/>
        <v>7566590.25</v>
      </c>
      <c r="L2263" s="19">
        <f t="shared" si="416"/>
        <v>56712807</v>
      </c>
      <c r="M2263" s="20"/>
      <c r="N2263" s="20"/>
      <c r="O2263" s="81"/>
      <c r="P2263" s="103">
        <v>43521881</v>
      </c>
      <c r="Q2263" s="104">
        <v>43983</v>
      </c>
      <c r="R2263" s="105">
        <v>400000</v>
      </c>
      <c r="S2263" s="106">
        <v>512000</v>
      </c>
    </row>
    <row r="2264" spans="2:20" ht="12.75" hidden="1" customHeight="1" x14ac:dyDescent="0.25">
      <c r="B2264" s="100">
        <v>44053.083333333336</v>
      </c>
      <c r="C2264" s="101" t="s">
        <v>2151</v>
      </c>
      <c r="D2264" s="34"/>
      <c r="E2264" s="37">
        <v>8000000</v>
      </c>
      <c r="F2264" s="37"/>
      <c r="G2264" s="37">
        <f t="shared" si="414"/>
        <v>8000000</v>
      </c>
      <c r="H2264" s="64"/>
      <c r="I2264" s="64">
        <v>364939.67</v>
      </c>
      <c r="J2264" s="64">
        <v>68470.080000000002</v>
      </c>
      <c r="K2264" s="18">
        <f t="shared" si="415"/>
        <v>7566590.25</v>
      </c>
      <c r="L2264" s="19">
        <f t="shared" si="416"/>
        <v>48712807</v>
      </c>
      <c r="M2264" s="20"/>
      <c r="N2264" s="20"/>
      <c r="O2264" s="81"/>
      <c r="P2264" s="103">
        <v>44232266</v>
      </c>
      <c r="Q2264" s="104">
        <v>44013</v>
      </c>
      <c r="R2264" s="105">
        <v>400000</v>
      </c>
      <c r="S2264" s="106">
        <v>512000</v>
      </c>
    </row>
    <row r="2265" spans="2:20" ht="12.75" hidden="1" customHeight="1" x14ac:dyDescent="0.25">
      <c r="B2265" s="100">
        <v>44077.083333333336</v>
      </c>
      <c r="C2265" s="101" t="s">
        <v>2152</v>
      </c>
      <c r="D2265" s="34"/>
      <c r="E2265" s="37">
        <v>8000000</v>
      </c>
      <c r="F2265" s="37"/>
      <c r="G2265" s="37">
        <f t="shared" si="414"/>
        <v>8000000</v>
      </c>
      <c r="H2265" s="64"/>
      <c r="I2265" s="64">
        <v>364939.67</v>
      </c>
      <c r="J2265" s="64">
        <v>68470.080000000002</v>
      </c>
      <c r="K2265" s="18">
        <f t="shared" si="415"/>
        <v>7566590.25</v>
      </c>
      <c r="L2265" s="19">
        <f t="shared" si="416"/>
        <v>40712807</v>
      </c>
      <c r="M2265" s="20"/>
      <c r="N2265" s="20"/>
      <c r="O2265" s="81"/>
      <c r="P2265" s="103">
        <v>44903697</v>
      </c>
      <c r="Q2265" s="104">
        <v>44044</v>
      </c>
      <c r="R2265" s="105">
        <v>400000</v>
      </c>
      <c r="S2265" s="106">
        <v>512000</v>
      </c>
    </row>
    <row r="2266" spans="2:20" ht="12.75" hidden="1" customHeight="1" x14ac:dyDescent="0.25">
      <c r="B2266" s="100">
        <v>44111.083333333336</v>
      </c>
      <c r="C2266" s="101" t="s">
        <v>2153</v>
      </c>
      <c r="D2266" s="34"/>
      <c r="E2266" s="37">
        <v>8000000</v>
      </c>
      <c r="F2266" s="37"/>
      <c r="G2266" s="37">
        <f t="shared" si="414"/>
        <v>8000000</v>
      </c>
      <c r="H2266" s="64"/>
      <c r="I2266" s="64">
        <v>364939.67</v>
      </c>
      <c r="J2266" s="64">
        <v>68470.080000000002</v>
      </c>
      <c r="K2266" s="18">
        <f t="shared" si="415"/>
        <v>7566590.25</v>
      </c>
      <c r="L2266" s="19">
        <f t="shared" si="416"/>
        <v>32712807</v>
      </c>
      <c r="M2266" s="20"/>
      <c r="N2266" s="20"/>
      <c r="O2266" s="81"/>
      <c r="P2266" s="103">
        <v>45544719</v>
      </c>
      <c r="Q2266" s="104">
        <v>44075</v>
      </c>
      <c r="R2266" s="105">
        <v>400000</v>
      </c>
      <c r="S2266" s="106">
        <v>512000</v>
      </c>
    </row>
    <row r="2267" spans="2:20" ht="12.75" hidden="1" customHeight="1" x14ac:dyDescent="0.25">
      <c r="B2267" s="100">
        <v>44141.125</v>
      </c>
      <c r="C2267" s="101" t="s">
        <v>2154</v>
      </c>
      <c r="D2267" s="34"/>
      <c r="E2267" s="37">
        <v>8000000</v>
      </c>
      <c r="F2267" s="37"/>
      <c r="G2267" s="37">
        <f t="shared" si="414"/>
        <v>8000000</v>
      </c>
      <c r="H2267" s="64"/>
      <c r="I2267" s="64">
        <v>364939.67</v>
      </c>
      <c r="J2267" s="64">
        <v>68470.080000000002</v>
      </c>
      <c r="K2267" s="18">
        <f t="shared" si="415"/>
        <v>7566590.25</v>
      </c>
      <c r="L2267" s="19">
        <f t="shared" si="416"/>
        <v>24712807</v>
      </c>
      <c r="M2267" s="20"/>
      <c r="N2267" s="20"/>
      <c r="O2267" s="81"/>
      <c r="P2267" s="103">
        <v>46209112</v>
      </c>
      <c r="Q2267" s="104">
        <v>44105</v>
      </c>
      <c r="R2267" s="105">
        <v>400000</v>
      </c>
      <c r="S2267" s="106">
        <v>512000</v>
      </c>
    </row>
    <row r="2268" spans="2:20" ht="12.75" hidden="1" customHeight="1" x14ac:dyDescent="0.25">
      <c r="B2268" s="100">
        <v>44174.125</v>
      </c>
      <c r="C2268" s="101" t="s">
        <v>2155</v>
      </c>
      <c r="D2268" s="34"/>
      <c r="E2268" s="37">
        <v>8000000</v>
      </c>
      <c r="F2268" s="37"/>
      <c r="G2268" s="37">
        <f t="shared" si="414"/>
        <v>8000000</v>
      </c>
      <c r="H2268" s="64"/>
      <c r="I2268" s="64">
        <v>364939.67</v>
      </c>
      <c r="J2268" s="64">
        <v>68470.080000000002</v>
      </c>
      <c r="K2268" s="18">
        <f t="shared" si="415"/>
        <v>7566590.25</v>
      </c>
      <c r="L2268" s="19">
        <f t="shared" si="416"/>
        <v>16712807</v>
      </c>
      <c r="M2268" s="20"/>
      <c r="N2268" s="20"/>
      <c r="O2268" s="81"/>
      <c r="P2268" s="103">
        <v>809647100</v>
      </c>
      <c r="Q2268" s="104">
        <v>44136</v>
      </c>
      <c r="R2268" s="105">
        <v>400000</v>
      </c>
      <c r="S2268" s="106">
        <v>512000</v>
      </c>
    </row>
    <row r="2269" spans="2:20" ht="12.75" hidden="1" customHeight="1" x14ac:dyDescent="0.25">
      <c r="B2269" s="100">
        <v>44189.125</v>
      </c>
      <c r="C2269" s="101" t="s">
        <v>2156</v>
      </c>
      <c r="D2269" s="34"/>
      <c r="E2269" s="37">
        <v>8000000</v>
      </c>
      <c r="F2269" s="37"/>
      <c r="G2269" s="37">
        <f t="shared" si="414"/>
        <v>8000000</v>
      </c>
      <c r="H2269" s="64"/>
      <c r="I2269" s="64">
        <v>364939.67</v>
      </c>
      <c r="J2269" s="64">
        <v>68470.080000000002</v>
      </c>
      <c r="K2269" s="18">
        <f t="shared" si="415"/>
        <v>7566590.25</v>
      </c>
      <c r="L2269" s="19">
        <f t="shared" si="416"/>
        <v>8712807</v>
      </c>
      <c r="M2269" s="20"/>
      <c r="N2269" s="20"/>
      <c r="O2269" s="81"/>
      <c r="P2269" s="103"/>
      <c r="Q2269" s="104"/>
      <c r="R2269" s="105"/>
      <c r="S2269" s="106"/>
    </row>
    <row r="2270" spans="2:20" ht="12.75" hidden="1" customHeight="1" x14ac:dyDescent="0.25">
      <c r="B2270" s="100"/>
      <c r="C2270" s="101" t="s">
        <v>654</v>
      </c>
      <c r="D2270" s="34"/>
      <c r="E2270" s="37">
        <v>8712807</v>
      </c>
      <c r="F2270" s="37"/>
      <c r="G2270" s="37">
        <f t="shared" si="414"/>
        <v>8712807</v>
      </c>
      <c r="H2270" s="64"/>
      <c r="I2270" s="64"/>
      <c r="J2270" s="64"/>
      <c r="K2270" s="18">
        <f t="shared" si="415"/>
        <v>8712807</v>
      </c>
      <c r="L2270" s="19">
        <f t="shared" si="416"/>
        <v>0</v>
      </c>
      <c r="M2270" s="20"/>
      <c r="N2270" s="20"/>
      <c r="O2270" s="81"/>
      <c r="P2270" s="103"/>
      <c r="Q2270" s="104"/>
      <c r="R2270" s="105"/>
      <c r="S2270" s="106"/>
    </row>
    <row r="2271" spans="2:20" ht="15" hidden="1" x14ac:dyDescent="0.25">
      <c r="B2271" s="9" t="s">
        <v>2157</v>
      </c>
      <c r="C2271" s="10"/>
      <c r="D2271" s="11">
        <v>96900000</v>
      </c>
      <c r="E2271" s="11">
        <f>+D2271</f>
        <v>96900000</v>
      </c>
      <c r="F2271" s="11"/>
      <c r="G2271" s="11"/>
      <c r="H2271" s="11"/>
      <c r="I2271" s="11"/>
      <c r="J2271" s="11"/>
      <c r="K2271" s="11"/>
      <c r="L2271" s="11">
        <f>+D2271</f>
        <v>96900000</v>
      </c>
      <c r="M2271" s="12"/>
      <c r="N2271" s="12"/>
      <c r="P2271" s="55"/>
      <c r="Q2271" s="55"/>
      <c r="R2271" s="14"/>
      <c r="S2271" s="14"/>
    </row>
    <row r="2272" spans="2:20" ht="12.75" hidden="1" customHeight="1" x14ac:dyDescent="0.25">
      <c r="B2272" s="100">
        <v>43875.125</v>
      </c>
      <c r="C2272" s="101" t="s">
        <v>2158</v>
      </c>
      <c r="D2272" s="34"/>
      <c r="E2272" s="37">
        <v>2549997</v>
      </c>
      <c r="F2272" s="37"/>
      <c r="G2272" s="37">
        <f t="shared" ref="G2272:G2284" si="417">+E2272</f>
        <v>2549997</v>
      </c>
      <c r="H2272" s="64"/>
      <c r="I2272" s="64"/>
      <c r="J2272" s="64">
        <v>21824.81</v>
      </c>
      <c r="K2272" s="18">
        <f t="shared" ref="K2272:K2284" si="418">+G2272-H2272-I2272-J2272</f>
        <v>2528172.19</v>
      </c>
      <c r="L2272" s="19">
        <f t="shared" ref="L2272:L2284" si="419">+L2271-G2272</f>
        <v>94350003</v>
      </c>
      <c r="M2272" s="20"/>
      <c r="N2272" s="20"/>
      <c r="O2272" s="81">
        <f>+L2284-'[1]ANEXO 7 - PPTO VIG 2020'!T34</f>
        <v>0</v>
      </c>
      <c r="P2272" s="55">
        <v>40714931</v>
      </c>
      <c r="Q2272" s="97">
        <v>43831</v>
      </c>
      <c r="R2272" s="14">
        <v>1087200</v>
      </c>
      <c r="S2272" s="14">
        <v>1451400</v>
      </c>
      <c r="T2272" s="3">
        <f>+L2271*40%</f>
        <v>38760000</v>
      </c>
    </row>
    <row r="2273" spans="2:20" ht="12.75" hidden="1" customHeight="1" x14ac:dyDescent="0.25">
      <c r="B2273" s="100">
        <v>43895.125</v>
      </c>
      <c r="C2273" s="101" t="s">
        <v>2159</v>
      </c>
      <c r="D2273" s="34"/>
      <c r="E2273" s="37">
        <v>8500000</v>
      </c>
      <c r="F2273" s="37"/>
      <c r="G2273" s="37">
        <f t="shared" si="417"/>
        <v>8500000</v>
      </c>
      <c r="H2273" s="64"/>
      <c r="I2273" s="64">
        <v>298164.15000000002</v>
      </c>
      <c r="J2273" s="64">
        <v>72749.460000000006</v>
      </c>
      <c r="K2273" s="18">
        <f t="shared" si="418"/>
        <v>8129086.3899999997</v>
      </c>
      <c r="L2273" s="19">
        <f t="shared" si="419"/>
        <v>85850003</v>
      </c>
      <c r="M2273" s="20"/>
      <c r="N2273" s="20"/>
      <c r="O2273" s="81"/>
      <c r="P2273" s="55">
        <v>41547466</v>
      </c>
      <c r="Q2273" s="97">
        <v>43862</v>
      </c>
      <c r="R2273" s="14">
        <v>1069500</v>
      </c>
      <c r="S2273" s="14">
        <v>1454500</v>
      </c>
      <c r="T2273" s="3">
        <f>+T2272*12.5%</f>
        <v>4845000</v>
      </c>
    </row>
    <row r="2274" spans="2:20" ht="12.75" hidden="1" customHeight="1" x14ac:dyDescent="0.25">
      <c r="B2274" s="100">
        <v>43937.083333333336</v>
      </c>
      <c r="C2274" s="101" t="s">
        <v>2160</v>
      </c>
      <c r="D2274" s="34"/>
      <c r="E2274" s="37">
        <v>8500000</v>
      </c>
      <c r="F2274" s="37"/>
      <c r="G2274" s="37">
        <f t="shared" si="417"/>
        <v>8500000</v>
      </c>
      <c r="H2274" s="64"/>
      <c r="I2274" s="64">
        <v>298164.15000000002</v>
      </c>
      <c r="J2274" s="64">
        <v>72749.460000000006</v>
      </c>
      <c r="K2274" s="18">
        <f t="shared" si="418"/>
        <v>8129086.3899999997</v>
      </c>
      <c r="L2274" s="19">
        <f t="shared" si="419"/>
        <v>77350003</v>
      </c>
      <c r="M2274" s="20"/>
      <c r="N2274" s="20"/>
      <c r="O2274" s="81"/>
      <c r="P2274" s="55">
        <v>42167542</v>
      </c>
      <c r="Q2274" s="97">
        <v>43891</v>
      </c>
      <c r="R2274" s="14">
        <v>1069500</v>
      </c>
      <c r="S2274" s="14">
        <v>1454500</v>
      </c>
      <c r="T2274" s="3">
        <f>+T2272*16%</f>
        <v>6201600</v>
      </c>
    </row>
    <row r="2275" spans="2:20" ht="12.75" hidden="1" customHeight="1" x14ac:dyDescent="0.25">
      <c r="B2275" s="100">
        <v>43959.083333333336</v>
      </c>
      <c r="C2275" s="101" t="s">
        <v>2161</v>
      </c>
      <c r="D2275" s="34"/>
      <c r="E2275" s="37">
        <v>8500000</v>
      </c>
      <c r="F2275" s="37"/>
      <c r="G2275" s="37">
        <f t="shared" si="417"/>
        <v>8500000</v>
      </c>
      <c r="H2275" s="64"/>
      <c r="I2275" s="64">
        <v>425622.01</v>
      </c>
      <c r="J2275" s="64">
        <v>72749.460000000006</v>
      </c>
      <c r="K2275" s="18">
        <f t="shared" si="418"/>
        <v>8001628.5300000003</v>
      </c>
      <c r="L2275" s="19">
        <f t="shared" si="419"/>
        <v>68850003</v>
      </c>
      <c r="M2275" s="20"/>
      <c r="N2275" s="20"/>
      <c r="O2275" s="81"/>
      <c r="P2275" s="55">
        <v>42727003</v>
      </c>
      <c r="Q2275" s="97">
        <v>43922</v>
      </c>
      <c r="R2275" s="14">
        <v>1062500</v>
      </c>
      <c r="S2275" s="14">
        <v>1445000</v>
      </c>
    </row>
    <row r="2276" spans="2:20" ht="12.75" hidden="1" customHeight="1" x14ac:dyDescent="0.25">
      <c r="B2276" s="100">
        <v>43999.083333333336</v>
      </c>
      <c r="C2276" s="101" t="s">
        <v>2162</v>
      </c>
      <c r="D2276" s="34"/>
      <c r="E2276" s="37">
        <v>8500000</v>
      </c>
      <c r="F2276" s="37"/>
      <c r="G2276" s="37">
        <f t="shared" si="417"/>
        <v>8500000</v>
      </c>
      <c r="H2276" s="64"/>
      <c r="I2276" s="64">
        <v>425622.01</v>
      </c>
      <c r="J2276" s="64">
        <v>72749.460000000006</v>
      </c>
      <c r="K2276" s="18">
        <f t="shared" si="418"/>
        <v>8001628.5300000003</v>
      </c>
      <c r="L2276" s="19">
        <f t="shared" si="419"/>
        <v>60350003</v>
      </c>
      <c r="M2276" s="20"/>
      <c r="N2276" s="20"/>
      <c r="O2276" s="81"/>
      <c r="P2276" s="55">
        <v>43525973</v>
      </c>
      <c r="Q2276" s="97">
        <v>43952</v>
      </c>
      <c r="R2276" s="14">
        <v>1062500</v>
      </c>
      <c r="S2276" s="14">
        <v>1445000</v>
      </c>
    </row>
    <row r="2277" spans="2:20" ht="12.75" hidden="1" customHeight="1" x14ac:dyDescent="0.25">
      <c r="B2277" s="100">
        <v>44021.083333333336</v>
      </c>
      <c r="C2277" s="101" t="s">
        <v>2163</v>
      </c>
      <c r="D2277" s="34"/>
      <c r="E2277" s="37">
        <v>8500000</v>
      </c>
      <c r="F2277" s="37"/>
      <c r="G2277" s="37">
        <f t="shared" si="417"/>
        <v>8500000</v>
      </c>
      <c r="H2277" s="64"/>
      <c r="I2277" s="64">
        <v>298164.15000000002</v>
      </c>
      <c r="J2277" s="64">
        <v>72749.460000000006</v>
      </c>
      <c r="K2277" s="18">
        <f t="shared" si="418"/>
        <v>8129086.3899999997</v>
      </c>
      <c r="L2277" s="19">
        <f t="shared" si="419"/>
        <v>51850003</v>
      </c>
      <c r="M2277" s="20"/>
      <c r="N2277" s="20"/>
      <c r="O2277" s="81"/>
      <c r="P2277" s="55">
        <v>44298220</v>
      </c>
      <c r="Q2277" s="97">
        <v>43983</v>
      </c>
      <c r="R2277" s="14">
        <v>1062500</v>
      </c>
      <c r="S2277" s="14">
        <v>1445000</v>
      </c>
    </row>
    <row r="2278" spans="2:20" ht="12.75" hidden="1" customHeight="1" x14ac:dyDescent="0.25">
      <c r="B2278" s="100">
        <v>44053.083333333336</v>
      </c>
      <c r="C2278" s="101" t="s">
        <v>2164</v>
      </c>
      <c r="D2278" s="34"/>
      <c r="E2278" s="37">
        <v>8500000</v>
      </c>
      <c r="F2278" s="37"/>
      <c r="G2278" s="37">
        <f t="shared" si="417"/>
        <v>8500000</v>
      </c>
      <c r="H2278" s="64"/>
      <c r="I2278" s="64">
        <v>298164.15000000002</v>
      </c>
      <c r="J2278" s="64">
        <v>72749.460000000006</v>
      </c>
      <c r="K2278" s="18">
        <f t="shared" si="418"/>
        <v>8129086.3899999997</v>
      </c>
      <c r="L2278" s="19">
        <f t="shared" si="419"/>
        <v>43350003</v>
      </c>
      <c r="M2278" s="20"/>
      <c r="N2278" s="20"/>
      <c r="O2278" s="81"/>
      <c r="P2278" s="55">
        <v>44219269</v>
      </c>
      <c r="Q2278" s="97">
        <v>44013</v>
      </c>
      <c r="R2278" s="14">
        <v>1062500</v>
      </c>
      <c r="S2278" s="14">
        <v>1445000</v>
      </c>
    </row>
    <row r="2279" spans="2:20" ht="12.75" hidden="1" customHeight="1" x14ac:dyDescent="0.25">
      <c r="B2279" s="100">
        <v>44076.083333333336</v>
      </c>
      <c r="C2279" s="101" t="s">
        <v>2165</v>
      </c>
      <c r="D2279" s="34"/>
      <c r="E2279" s="37">
        <v>8500000</v>
      </c>
      <c r="F2279" s="37"/>
      <c r="G2279" s="37">
        <f t="shared" si="417"/>
        <v>8500000</v>
      </c>
      <c r="H2279" s="64"/>
      <c r="I2279" s="64">
        <v>425622.01</v>
      </c>
      <c r="J2279" s="64">
        <v>72749.460000000006</v>
      </c>
      <c r="K2279" s="18">
        <f t="shared" si="418"/>
        <v>8001628.5300000003</v>
      </c>
      <c r="L2279" s="19">
        <f t="shared" si="419"/>
        <v>34850003</v>
      </c>
      <c r="M2279" s="20"/>
      <c r="N2279" s="20"/>
      <c r="O2279" s="81"/>
      <c r="P2279" s="55">
        <v>44855266</v>
      </c>
      <c r="Q2279" s="97">
        <v>44044</v>
      </c>
      <c r="R2279" s="14">
        <v>1062500</v>
      </c>
      <c r="S2279" s="14">
        <v>1445000</v>
      </c>
    </row>
    <row r="2280" spans="2:20" ht="12.75" hidden="1" customHeight="1" x14ac:dyDescent="0.25">
      <c r="B2280" s="100">
        <v>44111.083333333336</v>
      </c>
      <c r="C2280" s="101" t="s">
        <v>2166</v>
      </c>
      <c r="D2280" s="34"/>
      <c r="E2280" s="37">
        <v>8500000</v>
      </c>
      <c r="F2280" s="37"/>
      <c r="G2280" s="37">
        <f t="shared" si="417"/>
        <v>8500000</v>
      </c>
      <c r="H2280" s="64"/>
      <c r="I2280" s="64">
        <v>425622.01</v>
      </c>
      <c r="J2280" s="64">
        <v>72749.460000000006</v>
      </c>
      <c r="K2280" s="18">
        <f t="shared" si="418"/>
        <v>8001628.5300000003</v>
      </c>
      <c r="L2280" s="19">
        <f t="shared" si="419"/>
        <v>26350003</v>
      </c>
      <c r="M2280" s="20"/>
      <c r="N2280" s="20"/>
      <c r="O2280" s="81"/>
      <c r="P2280" s="55">
        <v>45499931</v>
      </c>
      <c r="Q2280" s="97">
        <v>44075</v>
      </c>
      <c r="R2280" s="14">
        <v>1062500</v>
      </c>
      <c r="S2280" s="14">
        <v>1445000</v>
      </c>
    </row>
    <row r="2281" spans="2:20" ht="12.75" hidden="1" customHeight="1" x14ac:dyDescent="0.25">
      <c r="B2281" s="100">
        <v>44141.125</v>
      </c>
      <c r="C2281" s="101" t="s">
        <v>2167</v>
      </c>
      <c r="D2281" s="34"/>
      <c r="E2281" s="37">
        <v>8500000</v>
      </c>
      <c r="F2281" s="37"/>
      <c r="G2281" s="37">
        <f t="shared" si="417"/>
        <v>8500000</v>
      </c>
      <c r="H2281" s="64"/>
      <c r="I2281" s="64">
        <v>425622.01</v>
      </c>
      <c r="J2281" s="64">
        <v>72749.460000000006</v>
      </c>
      <c r="K2281" s="18">
        <f t="shared" si="418"/>
        <v>8001628.5300000003</v>
      </c>
      <c r="L2281" s="19">
        <f t="shared" si="419"/>
        <v>17850003</v>
      </c>
      <c r="M2281" s="20"/>
      <c r="N2281" s="20"/>
      <c r="O2281" s="81"/>
      <c r="P2281" s="55">
        <v>46149903</v>
      </c>
      <c r="Q2281" s="97">
        <v>44105</v>
      </c>
      <c r="R2281" s="14">
        <v>1062500</v>
      </c>
      <c r="S2281" s="14">
        <v>1445000</v>
      </c>
    </row>
    <row r="2282" spans="2:20" ht="12.75" hidden="1" customHeight="1" x14ac:dyDescent="0.25">
      <c r="B2282" s="100">
        <v>44175.125</v>
      </c>
      <c r="C2282" s="101" t="s">
        <v>2168</v>
      </c>
      <c r="D2282" s="34"/>
      <c r="E2282" s="37">
        <v>8500000</v>
      </c>
      <c r="F2282" s="37"/>
      <c r="G2282" s="37">
        <f t="shared" si="417"/>
        <v>8500000</v>
      </c>
      <c r="H2282" s="64"/>
      <c r="I2282" s="64">
        <v>298164.15000000002</v>
      </c>
      <c r="J2282" s="64">
        <v>72749.460000000006</v>
      </c>
      <c r="K2282" s="18">
        <f t="shared" si="418"/>
        <v>8129086.3899999997</v>
      </c>
      <c r="L2282" s="19">
        <f t="shared" si="419"/>
        <v>9350003</v>
      </c>
      <c r="M2282" s="20"/>
      <c r="N2282" s="20"/>
      <c r="O2282" s="81"/>
      <c r="P2282" s="55">
        <v>46777020</v>
      </c>
      <c r="Q2282" s="97">
        <v>44136</v>
      </c>
      <c r="R2282" s="14">
        <v>1062500</v>
      </c>
      <c r="S2282" s="14">
        <v>1445000</v>
      </c>
    </row>
    <row r="2283" spans="2:20" ht="12.75" hidden="1" customHeight="1" x14ac:dyDescent="0.25">
      <c r="B2283" s="100">
        <v>44193.125</v>
      </c>
      <c r="C2283" s="101" t="s">
        <v>2169</v>
      </c>
      <c r="D2283" s="34"/>
      <c r="E2283" s="37">
        <v>8500000</v>
      </c>
      <c r="F2283" s="37"/>
      <c r="G2283" s="37">
        <f t="shared" si="417"/>
        <v>8500000</v>
      </c>
      <c r="H2283" s="64"/>
      <c r="I2283" s="64">
        <v>298164.15000000002</v>
      </c>
      <c r="J2283" s="64">
        <v>72749.460000000006</v>
      </c>
      <c r="K2283" s="18">
        <f t="shared" si="418"/>
        <v>8129086.3899999997</v>
      </c>
      <c r="L2283" s="19">
        <f t="shared" si="419"/>
        <v>850003</v>
      </c>
      <c r="M2283" s="20"/>
      <c r="N2283" s="20"/>
      <c r="O2283" s="81"/>
      <c r="P2283" s="55"/>
      <c r="Q2283" s="97"/>
      <c r="R2283" s="14"/>
      <c r="S2283" s="14"/>
    </row>
    <row r="2284" spans="2:20" ht="12.75" hidden="1" customHeight="1" x14ac:dyDescent="0.25">
      <c r="B2284" s="100"/>
      <c r="C2284" s="101" t="s">
        <v>2047</v>
      </c>
      <c r="D2284" s="34"/>
      <c r="E2284" s="37">
        <v>850003</v>
      </c>
      <c r="F2284" s="37"/>
      <c r="G2284" s="37">
        <f t="shared" si="417"/>
        <v>850003</v>
      </c>
      <c r="H2284" s="64"/>
      <c r="I2284" s="64"/>
      <c r="J2284" s="64"/>
      <c r="K2284" s="18">
        <f t="shared" si="418"/>
        <v>850003</v>
      </c>
      <c r="L2284" s="19">
        <f t="shared" si="419"/>
        <v>0</v>
      </c>
      <c r="M2284" s="20"/>
      <c r="N2284" s="20"/>
      <c r="O2284" s="81"/>
      <c r="P2284" s="55"/>
      <c r="Q2284" s="97"/>
      <c r="R2284" s="14"/>
      <c r="S2284" s="14"/>
    </row>
    <row r="2285" spans="2:20" ht="13.15" hidden="1" customHeight="1" x14ac:dyDescent="0.25">
      <c r="B2285" s="9" t="s">
        <v>2170</v>
      </c>
      <c r="C2285" s="10"/>
      <c r="D2285" s="11">
        <v>99440000</v>
      </c>
      <c r="E2285" s="11">
        <f>+D2285</f>
        <v>99440000</v>
      </c>
      <c r="F2285" s="11"/>
      <c r="G2285" s="11"/>
      <c r="H2285" s="11"/>
      <c r="I2285" s="11"/>
      <c r="J2285" s="11"/>
      <c r="K2285" s="11"/>
      <c r="L2285" s="11">
        <f>+D2285</f>
        <v>99440000</v>
      </c>
      <c r="M2285" s="12"/>
      <c r="N2285" s="12"/>
      <c r="P2285" s="55"/>
      <c r="Q2285" s="55"/>
      <c r="R2285" s="14"/>
      <c r="S2285" s="14"/>
    </row>
    <row r="2286" spans="2:20" ht="12.75" hidden="1" customHeight="1" x14ac:dyDescent="0.25">
      <c r="B2286" s="100">
        <v>43875.125</v>
      </c>
      <c r="C2286" s="101" t="s">
        <v>2171</v>
      </c>
      <c r="D2286" s="34"/>
      <c r="E2286" s="37">
        <v>2346667</v>
      </c>
      <c r="F2286" s="37"/>
      <c r="G2286" s="37">
        <f t="shared" ref="G2286:G2298" si="420">+E2286</f>
        <v>2346667</v>
      </c>
      <c r="H2286" s="64"/>
      <c r="I2286" s="64"/>
      <c r="J2286" s="64">
        <v>20084.560000000001</v>
      </c>
      <c r="K2286" s="18">
        <f t="shared" ref="K2286:K2298" si="421">+G2286-H2286-I2286-J2286</f>
        <v>2326582.44</v>
      </c>
      <c r="L2286" s="19">
        <f t="shared" ref="L2286:L2298" si="422">+L2285-G2286</f>
        <v>97093333</v>
      </c>
      <c r="M2286" s="20"/>
      <c r="N2286" s="20"/>
      <c r="O2286" s="81">
        <f>+L2298-'[1]ANEXO 7 - PPTO VIG 2020'!T67</f>
        <v>0</v>
      </c>
      <c r="P2286" s="55">
        <v>40889364</v>
      </c>
      <c r="Q2286" s="97">
        <v>43831</v>
      </c>
      <c r="R2286" s="14">
        <v>444500</v>
      </c>
      <c r="S2286" s="14">
        <v>604600</v>
      </c>
    </row>
    <row r="2287" spans="2:20" ht="12.75" hidden="1" customHeight="1" x14ac:dyDescent="0.25">
      <c r="B2287" s="100">
        <v>43899.083333333336</v>
      </c>
      <c r="C2287" s="101" t="s">
        <v>2172</v>
      </c>
      <c r="D2287" s="34"/>
      <c r="E2287" s="37">
        <v>8800000</v>
      </c>
      <c r="F2287" s="37"/>
      <c r="G2287" s="37">
        <f t="shared" si="420"/>
        <v>8800000</v>
      </c>
      <c r="H2287" s="64"/>
      <c r="I2287" s="64">
        <v>335299.65000000002</v>
      </c>
      <c r="J2287" s="64">
        <v>75317.09</v>
      </c>
      <c r="K2287" s="18">
        <f t="shared" si="421"/>
        <v>8389383.2599999998</v>
      </c>
      <c r="L2287" s="19">
        <f t="shared" si="422"/>
        <v>88293333</v>
      </c>
      <c r="M2287" s="20"/>
      <c r="N2287" s="20"/>
      <c r="O2287" s="81"/>
      <c r="P2287" s="55">
        <v>41532841</v>
      </c>
      <c r="Q2287" s="97">
        <v>43862</v>
      </c>
      <c r="R2287" s="14">
        <v>444500</v>
      </c>
      <c r="S2287" s="14">
        <v>604600</v>
      </c>
    </row>
    <row r="2288" spans="2:20" ht="12.75" hidden="1" customHeight="1" x14ac:dyDescent="0.25">
      <c r="B2288" s="100">
        <v>43937.083333333336</v>
      </c>
      <c r="C2288" s="101" t="s">
        <v>2173</v>
      </c>
      <c r="D2288" s="34"/>
      <c r="E2288" s="37">
        <v>8800000</v>
      </c>
      <c r="F2288" s="37"/>
      <c r="G2288" s="37">
        <f t="shared" si="420"/>
        <v>8800000</v>
      </c>
      <c r="H2288" s="64"/>
      <c r="I2288" s="64">
        <v>335299.65000000002</v>
      </c>
      <c r="J2288" s="64">
        <v>75317.09</v>
      </c>
      <c r="K2288" s="18">
        <f t="shared" si="421"/>
        <v>8389383.2599999998</v>
      </c>
      <c r="L2288" s="19">
        <f t="shared" si="422"/>
        <v>79493333</v>
      </c>
      <c r="M2288" s="20"/>
      <c r="N2288" s="20"/>
      <c r="O2288" s="81"/>
      <c r="P2288" s="55">
        <v>41532876</v>
      </c>
      <c r="Q2288" s="97">
        <v>43891</v>
      </c>
      <c r="R2288" s="14">
        <v>440000</v>
      </c>
      <c r="S2288" s="14">
        <v>598400</v>
      </c>
    </row>
    <row r="2289" spans="2:19" ht="12.75" hidden="1" customHeight="1" x14ac:dyDescent="0.25">
      <c r="B2289" s="100">
        <v>43959.083333333336</v>
      </c>
      <c r="C2289" s="101" t="s">
        <v>2174</v>
      </c>
      <c r="D2289" s="34"/>
      <c r="E2289" s="37">
        <v>8800000</v>
      </c>
      <c r="F2289" s="37"/>
      <c r="G2289" s="37">
        <f t="shared" si="420"/>
        <v>8800000</v>
      </c>
      <c r="H2289" s="64"/>
      <c r="I2289" s="64">
        <v>335299.65000000002</v>
      </c>
      <c r="J2289" s="64">
        <v>75317.09</v>
      </c>
      <c r="K2289" s="18">
        <f t="shared" si="421"/>
        <v>8389383.2599999998</v>
      </c>
      <c r="L2289" s="19">
        <f t="shared" si="422"/>
        <v>70693333</v>
      </c>
      <c r="M2289" s="20"/>
      <c r="N2289" s="20"/>
      <c r="O2289" s="81"/>
      <c r="P2289" s="55">
        <v>41947015</v>
      </c>
      <c r="Q2289" s="97">
        <v>43922</v>
      </c>
      <c r="R2289" s="14">
        <v>440000</v>
      </c>
      <c r="S2289" s="14">
        <v>598400</v>
      </c>
    </row>
    <row r="2290" spans="2:19" ht="12.75" hidden="1" customHeight="1" x14ac:dyDescent="0.25">
      <c r="B2290" s="100">
        <v>43994.083333333336</v>
      </c>
      <c r="C2290" s="101" t="s">
        <v>2175</v>
      </c>
      <c r="D2290" s="34"/>
      <c r="E2290" s="37">
        <v>8800000</v>
      </c>
      <c r="F2290" s="37"/>
      <c r="G2290" s="37">
        <f t="shared" si="420"/>
        <v>8800000</v>
      </c>
      <c r="H2290" s="64"/>
      <c r="I2290" s="64">
        <v>335299.65000000002</v>
      </c>
      <c r="J2290" s="64">
        <v>75317.09</v>
      </c>
      <c r="K2290" s="18">
        <f t="shared" si="421"/>
        <v>8389383.2599999998</v>
      </c>
      <c r="L2290" s="19">
        <f t="shared" si="422"/>
        <v>61893333</v>
      </c>
      <c r="M2290" s="20"/>
      <c r="N2290" s="20"/>
      <c r="O2290" s="81"/>
      <c r="P2290" s="55">
        <v>43573932</v>
      </c>
      <c r="Q2290" s="97">
        <v>43952</v>
      </c>
      <c r="R2290" s="14">
        <v>440000</v>
      </c>
      <c r="S2290" s="14">
        <v>598400</v>
      </c>
    </row>
    <row r="2291" spans="2:19" ht="12.75" hidden="1" customHeight="1" x14ac:dyDescent="0.25">
      <c r="B2291" s="100">
        <v>44020.083333333336</v>
      </c>
      <c r="C2291" s="101" t="s">
        <v>2176</v>
      </c>
      <c r="D2291" s="34"/>
      <c r="E2291" s="37">
        <v>8800000</v>
      </c>
      <c r="F2291" s="37"/>
      <c r="G2291" s="37">
        <f t="shared" si="420"/>
        <v>8800000</v>
      </c>
      <c r="H2291" s="64"/>
      <c r="I2291" s="64">
        <v>335299.65000000002</v>
      </c>
      <c r="J2291" s="64">
        <v>75317.09</v>
      </c>
      <c r="K2291" s="18">
        <f t="shared" si="421"/>
        <v>8389383.2599999998</v>
      </c>
      <c r="L2291" s="19">
        <f t="shared" si="422"/>
        <v>53093333</v>
      </c>
      <c r="M2291" s="20"/>
      <c r="N2291" s="20"/>
      <c r="O2291" s="81"/>
      <c r="P2291" s="55">
        <v>44349096</v>
      </c>
      <c r="Q2291" s="97">
        <v>43983</v>
      </c>
      <c r="R2291" s="14">
        <v>440000</v>
      </c>
      <c r="S2291" s="14">
        <v>598400</v>
      </c>
    </row>
    <row r="2292" spans="2:19" ht="12.75" hidden="1" customHeight="1" x14ac:dyDescent="0.25">
      <c r="B2292" s="100">
        <v>44054.083333333336</v>
      </c>
      <c r="C2292" s="101" t="s">
        <v>2177</v>
      </c>
      <c r="D2292" s="34"/>
      <c r="E2292" s="37">
        <v>8800000</v>
      </c>
      <c r="F2292" s="37"/>
      <c r="G2292" s="37">
        <f t="shared" si="420"/>
        <v>8800000</v>
      </c>
      <c r="H2292" s="64"/>
      <c r="I2292" s="64">
        <v>335299.65000000002</v>
      </c>
      <c r="J2292" s="64">
        <v>75317.09</v>
      </c>
      <c r="K2292" s="18">
        <f t="shared" si="421"/>
        <v>8389383.2599999998</v>
      </c>
      <c r="L2292" s="19">
        <f t="shared" si="422"/>
        <v>44293333</v>
      </c>
      <c r="M2292" s="20"/>
      <c r="N2292" s="20"/>
      <c r="O2292" s="81"/>
      <c r="P2292" s="55">
        <v>44085103</v>
      </c>
      <c r="Q2292" s="97">
        <v>44013</v>
      </c>
      <c r="R2292" s="14">
        <v>440000</v>
      </c>
      <c r="S2292" s="14">
        <v>598400</v>
      </c>
    </row>
    <row r="2293" spans="2:19" ht="12.75" hidden="1" customHeight="1" x14ac:dyDescent="0.25">
      <c r="B2293" s="100">
        <v>44077.083333333336</v>
      </c>
      <c r="C2293" s="101" t="s">
        <v>2178</v>
      </c>
      <c r="D2293" s="34"/>
      <c r="E2293" s="37">
        <v>8800000</v>
      </c>
      <c r="F2293" s="37"/>
      <c r="G2293" s="37">
        <f t="shared" si="420"/>
        <v>8800000</v>
      </c>
      <c r="H2293" s="64"/>
      <c r="I2293" s="64">
        <v>335299.65000000002</v>
      </c>
      <c r="J2293" s="64">
        <v>75317.09</v>
      </c>
      <c r="K2293" s="18">
        <f t="shared" si="421"/>
        <v>8389383.2599999998</v>
      </c>
      <c r="L2293" s="19">
        <f t="shared" si="422"/>
        <v>35493333</v>
      </c>
      <c r="M2293" s="20"/>
      <c r="N2293" s="20"/>
      <c r="O2293" s="81"/>
      <c r="P2293" s="55">
        <v>754929343</v>
      </c>
      <c r="Q2293" s="97">
        <v>44044</v>
      </c>
      <c r="R2293" s="14">
        <v>440000</v>
      </c>
      <c r="S2293" s="14">
        <v>598400</v>
      </c>
    </row>
    <row r="2294" spans="2:19" ht="12.75" hidden="1" customHeight="1" x14ac:dyDescent="0.25">
      <c r="B2294" s="100">
        <v>44117.083333333336</v>
      </c>
      <c r="C2294" s="101" t="s">
        <v>2179</v>
      </c>
      <c r="D2294" s="34"/>
      <c r="E2294" s="37">
        <v>8800000</v>
      </c>
      <c r="F2294" s="37"/>
      <c r="G2294" s="37">
        <f t="shared" si="420"/>
        <v>8800000</v>
      </c>
      <c r="H2294" s="64"/>
      <c r="I2294" s="64">
        <v>335299.65000000002</v>
      </c>
      <c r="J2294" s="64">
        <v>75317.09</v>
      </c>
      <c r="K2294" s="18">
        <f t="shared" si="421"/>
        <v>8389383.2599999998</v>
      </c>
      <c r="L2294" s="19">
        <f t="shared" si="422"/>
        <v>26693333</v>
      </c>
      <c r="M2294" s="20"/>
      <c r="N2294" s="20"/>
      <c r="O2294" s="81"/>
      <c r="P2294" s="55">
        <v>783260109</v>
      </c>
      <c r="Q2294" s="97">
        <v>44075</v>
      </c>
      <c r="R2294" s="14">
        <v>440000</v>
      </c>
      <c r="S2294" s="14">
        <v>598400</v>
      </c>
    </row>
    <row r="2295" spans="2:19" ht="12.75" hidden="1" customHeight="1" x14ac:dyDescent="0.25">
      <c r="B2295" s="100">
        <v>44141.125</v>
      </c>
      <c r="C2295" s="101" t="s">
        <v>2180</v>
      </c>
      <c r="D2295" s="34"/>
      <c r="E2295" s="37">
        <v>8800000</v>
      </c>
      <c r="F2295" s="37"/>
      <c r="G2295" s="37">
        <f t="shared" si="420"/>
        <v>8800000</v>
      </c>
      <c r="H2295" s="64"/>
      <c r="I2295" s="64">
        <v>335299.65000000002</v>
      </c>
      <c r="J2295" s="64">
        <v>75317.09</v>
      </c>
      <c r="K2295" s="18">
        <f t="shared" si="421"/>
        <v>8389383.2599999998</v>
      </c>
      <c r="L2295" s="19">
        <f t="shared" si="422"/>
        <v>17893333</v>
      </c>
      <c r="M2295" s="20"/>
      <c r="N2295" s="20"/>
      <c r="O2295" s="81"/>
      <c r="P2295" s="55">
        <v>815766538</v>
      </c>
      <c r="Q2295" s="97">
        <v>44105</v>
      </c>
      <c r="R2295" s="14">
        <v>440000</v>
      </c>
      <c r="S2295" s="14">
        <v>598400</v>
      </c>
    </row>
    <row r="2296" spans="2:19" ht="12.75" hidden="1" customHeight="1" x14ac:dyDescent="0.25">
      <c r="B2296" s="100">
        <v>44176.125</v>
      </c>
      <c r="C2296" s="101" t="s">
        <v>2181</v>
      </c>
      <c r="D2296" s="34"/>
      <c r="E2296" s="37">
        <v>8800000</v>
      </c>
      <c r="F2296" s="37"/>
      <c r="G2296" s="37">
        <f t="shared" si="420"/>
        <v>8800000</v>
      </c>
      <c r="H2296" s="64"/>
      <c r="I2296" s="64">
        <v>335299.65000000002</v>
      </c>
      <c r="J2296" s="64">
        <v>75317.09</v>
      </c>
      <c r="K2296" s="18">
        <f t="shared" si="421"/>
        <v>8389383.2599999998</v>
      </c>
      <c r="L2296" s="19">
        <f t="shared" si="422"/>
        <v>9093333</v>
      </c>
      <c r="M2296" s="20"/>
      <c r="N2296" s="20"/>
      <c r="O2296" s="81"/>
      <c r="P2296" s="21">
        <v>46645920</v>
      </c>
      <c r="Q2296" s="98">
        <v>44136</v>
      </c>
      <c r="R2296" s="14">
        <v>440000</v>
      </c>
      <c r="S2296" s="14">
        <v>598400</v>
      </c>
    </row>
    <row r="2297" spans="2:19" ht="12.75" hidden="1" customHeight="1" x14ac:dyDescent="0.25">
      <c r="B2297" s="100">
        <v>44188.125</v>
      </c>
      <c r="C2297" s="101" t="s">
        <v>2182</v>
      </c>
      <c r="D2297" s="34"/>
      <c r="E2297" s="37">
        <v>8800000</v>
      </c>
      <c r="F2297" s="37"/>
      <c r="G2297" s="37">
        <f t="shared" si="420"/>
        <v>8800000</v>
      </c>
      <c r="H2297" s="64"/>
      <c r="I2297" s="64">
        <v>335299.65000000002</v>
      </c>
      <c r="J2297" s="64">
        <v>75317.09</v>
      </c>
      <c r="K2297" s="18">
        <f t="shared" si="421"/>
        <v>8389383.2599999998</v>
      </c>
      <c r="L2297" s="19">
        <f t="shared" si="422"/>
        <v>293333</v>
      </c>
      <c r="M2297" s="20"/>
      <c r="N2297" s="20"/>
      <c r="O2297" s="81"/>
      <c r="P2297" s="55">
        <v>47332260</v>
      </c>
      <c r="Q2297" s="97">
        <v>44166</v>
      </c>
      <c r="R2297" s="14">
        <v>440000</v>
      </c>
      <c r="S2297" s="14">
        <v>598400</v>
      </c>
    </row>
    <row r="2298" spans="2:19" ht="12.75" hidden="1" customHeight="1" x14ac:dyDescent="0.25">
      <c r="B2298" s="100"/>
      <c r="C2298" s="101" t="s">
        <v>2047</v>
      </c>
      <c r="D2298" s="34"/>
      <c r="E2298" s="37">
        <v>293333</v>
      </c>
      <c r="F2298" s="37"/>
      <c r="G2298" s="37">
        <f t="shared" si="420"/>
        <v>293333</v>
      </c>
      <c r="H2298" s="64"/>
      <c r="I2298" s="64"/>
      <c r="J2298" s="64"/>
      <c r="K2298" s="18">
        <f t="shared" si="421"/>
        <v>293333</v>
      </c>
      <c r="L2298" s="19">
        <f t="shared" si="422"/>
        <v>0</v>
      </c>
      <c r="M2298" s="20"/>
      <c r="N2298" s="20"/>
      <c r="O2298" s="81"/>
      <c r="P2298" s="55"/>
      <c r="Q2298" s="97"/>
      <c r="R2298" s="14"/>
      <c r="S2298" s="14"/>
    </row>
    <row r="2299" spans="2:19" ht="15" hidden="1" x14ac:dyDescent="0.25">
      <c r="B2299" s="9" t="s">
        <v>2183</v>
      </c>
      <c r="C2299" s="10"/>
      <c r="D2299" s="11">
        <v>98140000</v>
      </c>
      <c r="E2299" s="11">
        <f>+D2299</f>
        <v>98140000</v>
      </c>
      <c r="F2299" s="11"/>
      <c r="G2299" s="11"/>
      <c r="H2299" s="11"/>
      <c r="I2299" s="11"/>
      <c r="J2299" s="11"/>
      <c r="K2299" s="11"/>
      <c r="L2299" s="11">
        <f>+D2299</f>
        <v>98140000</v>
      </c>
      <c r="M2299" s="12"/>
      <c r="N2299" s="12"/>
      <c r="P2299" s="55"/>
      <c r="Q2299" s="55"/>
      <c r="R2299" s="14"/>
      <c r="S2299" s="14"/>
    </row>
    <row r="2300" spans="2:19" ht="12.75" hidden="1" customHeight="1" x14ac:dyDescent="0.25">
      <c r="B2300" s="100">
        <v>43875.125</v>
      </c>
      <c r="C2300" s="101" t="s">
        <v>2184</v>
      </c>
      <c r="D2300" s="34"/>
      <c r="E2300" s="37">
        <v>1040000</v>
      </c>
      <c r="F2300" s="37"/>
      <c r="G2300" s="37">
        <f t="shared" ref="G2300:G2312" si="423">+E2300</f>
        <v>1040000</v>
      </c>
      <c r="H2300" s="64"/>
      <c r="I2300" s="64"/>
      <c r="J2300" s="64">
        <v>8901.11</v>
      </c>
      <c r="K2300" s="18">
        <f t="shared" ref="K2300:K2312" si="424">+G2300-H2300-I2300-J2300</f>
        <v>1031098.89</v>
      </c>
      <c r="L2300" s="19">
        <f t="shared" ref="L2300:L2312" si="425">+L2299-G2300</f>
        <v>97100000</v>
      </c>
      <c r="M2300" s="20"/>
      <c r="N2300" s="20"/>
      <c r="O2300" s="81">
        <f>+L2312-'[1]ANEXO 7 - PPTO VIG 2020'!T35</f>
        <v>0</v>
      </c>
      <c r="P2300" s="55">
        <v>9402302800</v>
      </c>
      <c r="Q2300" s="97">
        <v>43831</v>
      </c>
      <c r="R2300" s="14">
        <v>109800</v>
      </c>
      <c r="S2300" s="14">
        <v>140500</v>
      </c>
    </row>
    <row r="2301" spans="2:19" ht="12.75" hidden="1" customHeight="1" x14ac:dyDescent="0.25">
      <c r="B2301" s="100">
        <v>43900.083333333336</v>
      </c>
      <c r="C2301" s="101" t="s">
        <v>2185</v>
      </c>
      <c r="D2301" s="34"/>
      <c r="E2301" s="37">
        <v>7800000</v>
      </c>
      <c r="F2301" s="37"/>
      <c r="G2301" s="37">
        <f t="shared" si="423"/>
        <v>7800000</v>
      </c>
      <c r="H2301" s="64"/>
      <c r="I2301" s="64">
        <v>228609.9</v>
      </c>
      <c r="J2301" s="64">
        <v>66758.33</v>
      </c>
      <c r="K2301" s="18">
        <f t="shared" si="424"/>
        <v>7504631.7699999996</v>
      </c>
      <c r="L2301" s="19">
        <f t="shared" si="425"/>
        <v>89300000</v>
      </c>
      <c r="M2301" s="20"/>
      <c r="N2301" s="20"/>
      <c r="O2301" s="81"/>
      <c r="P2301" s="55">
        <v>9403038861</v>
      </c>
      <c r="Q2301" s="97">
        <v>43862</v>
      </c>
      <c r="R2301" s="14">
        <v>390000</v>
      </c>
      <c r="S2301" s="14">
        <v>499200</v>
      </c>
    </row>
    <row r="2302" spans="2:19" ht="12.75" hidden="1" customHeight="1" x14ac:dyDescent="0.25">
      <c r="B2302" s="100">
        <v>43941.083333333336</v>
      </c>
      <c r="C2302" s="101" t="s">
        <v>2186</v>
      </c>
      <c r="D2302" s="34"/>
      <c r="E2302" s="37">
        <v>7800000</v>
      </c>
      <c r="F2302" s="37"/>
      <c r="G2302" s="37">
        <f t="shared" si="423"/>
        <v>7800000</v>
      </c>
      <c r="H2302" s="64"/>
      <c r="I2302" s="64">
        <v>228609.9</v>
      </c>
      <c r="J2302" s="64">
        <v>66758.33</v>
      </c>
      <c r="K2302" s="18">
        <f t="shared" si="424"/>
        <v>7504631.7699999996</v>
      </c>
      <c r="L2302" s="19">
        <f t="shared" si="425"/>
        <v>81500000</v>
      </c>
      <c r="M2302" s="20"/>
      <c r="N2302" s="20"/>
      <c r="O2302" s="81"/>
      <c r="P2302" s="55">
        <v>9403943610</v>
      </c>
      <c r="Q2302" s="97">
        <v>43891</v>
      </c>
      <c r="R2302" s="14">
        <v>390000</v>
      </c>
      <c r="S2302" s="14">
        <v>499200</v>
      </c>
    </row>
    <row r="2303" spans="2:19" ht="12.75" hidden="1" customHeight="1" x14ac:dyDescent="0.25">
      <c r="B2303" s="100">
        <v>43966.083333333336</v>
      </c>
      <c r="C2303" s="101" t="s">
        <v>2187</v>
      </c>
      <c r="D2303" s="34"/>
      <c r="E2303" s="37">
        <v>7800000</v>
      </c>
      <c r="F2303" s="37"/>
      <c r="G2303" s="37">
        <f t="shared" si="423"/>
        <v>7800000</v>
      </c>
      <c r="H2303" s="64"/>
      <c r="I2303" s="64">
        <v>228609.9</v>
      </c>
      <c r="J2303" s="64">
        <v>66758.33</v>
      </c>
      <c r="K2303" s="18">
        <f t="shared" si="424"/>
        <v>7504631.7699999996</v>
      </c>
      <c r="L2303" s="19">
        <f t="shared" si="425"/>
        <v>73700000</v>
      </c>
      <c r="M2303" s="20"/>
      <c r="N2303" s="20"/>
      <c r="O2303" s="81"/>
      <c r="P2303" s="55">
        <v>9405084448</v>
      </c>
      <c r="Q2303" s="97">
        <v>43922</v>
      </c>
      <c r="R2303" s="14">
        <v>390000</v>
      </c>
      <c r="S2303" s="14">
        <v>499200</v>
      </c>
    </row>
    <row r="2304" spans="2:19" ht="12.75" hidden="1" customHeight="1" x14ac:dyDescent="0.25">
      <c r="B2304" s="100">
        <v>44001.083333333336</v>
      </c>
      <c r="C2304" s="101" t="s">
        <v>2188</v>
      </c>
      <c r="D2304" s="34"/>
      <c r="E2304" s="37">
        <v>7800000</v>
      </c>
      <c r="F2304" s="37"/>
      <c r="G2304" s="37">
        <f t="shared" si="423"/>
        <v>7800000</v>
      </c>
      <c r="H2304" s="64"/>
      <c r="I2304" s="64">
        <v>228609.9</v>
      </c>
      <c r="J2304" s="64">
        <v>66758.33</v>
      </c>
      <c r="K2304" s="18">
        <f t="shared" si="424"/>
        <v>7504631.7699999996</v>
      </c>
      <c r="L2304" s="19">
        <f t="shared" si="425"/>
        <v>65900000</v>
      </c>
      <c r="M2304" s="20"/>
      <c r="N2304" s="20"/>
      <c r="O2304" s="81"/>
      <c r="P2304" s="55">
        <v>9406416376</v>
      </c>
      <c r="Q2304" s="97">
        <v>43952</v>
      </c>
      <c r="R2304" s="14">
        <v>390000</v>
      </c>
      <c r="S2304" s="14">
        <v>499200</v>
      </c>
    </row>
    <row r="2305" spans="2:19" ht="12.75" hidden="1" customHeight="1" x14ac:dyDescent="0.25">
      <c r="B2305" s="100">
        <v>44028.083333333336</v>
      </c>
      <c r="C2305" s="101" t="s">
        <v>2189</v>
      </c>
      <c r="D2305" s="34"/>
      <c r="E2305" s="37">
        <v>7800000</v>
      </c>
      <c r="F2305" s="37"/>
      <c r="G2305" s="37">
        <f t="shared" si="423"/>
        <v>7800000</v>
      </c>
      <c r="H2305" s="64"/>
      <c r="I2305" s="64">
        <v>228609.9</v>
      </c>
      <c r="J2305" s="64">
        <v>66758.33</v>
      </c>
      <c r="K2305" s="18">
        <f t="shared" si="424"/>
        <v>7504631.7699999996</v>
      </c>
      <c r="L2305" s="19">
        <f t="shared" si="425"/>
        <v>58100000</v>
      </c>
      <c r="M2305" s="20"/>
      <c r="N2305" s="20"/>
      <c r="O2305" s="81"/>
      <c r="P2305" s="55">
        <v>9407309839</v>
      </c>
      <c r="Q2305" s="97">
        <v>43983</v>
      </c>
      <c r="R2305" s="14">
        <v>390000</v>
      </c>
      <c r="S2305" s="14">
        <v>499200</v>
      </c>
    </row>
    <row r="2306" spans="2:19" ht="12.75" hidden="1" customHeight="1" x14ac:dyDescent="0.25">
      <c r="B2306" s="100">
        <v>44063.083333333336</v>
      </c>
      <c r="C2306" s="101" t="s">
        <v>2190</v>
      </c>
      <c r="D2306" s="34"/>
      <c r="E2306" s="37">
        <v>7800000</v>
      </c>
      <c r="F2306" s="37"/>
      <c r="G2306" s="37">
        <f t="shared" si="423"/>
        <v>7800000</v>
      </c>
      <c r="H2306" s="64"/>
      <c r="I2306" s="64">
        <v>228609.9</v>
      </c>
      <c r="J2306" s="64">
        <v>66758.33</v>
      </c>
      <c r="K2306" s="18">
        <f t="shared" si="424"/>
        <v>7504631.7699999996</v>
      </c>
      <c r="L2306" s="19">
        <f t="shared" si="425"/>
        <v>50300000</v>
      </c>
      <c r="M2306" s="20"/>
      <c r="N2306" s="20"/>
      <c r="O2306" s="81"/>
      <c r="P2306" s="55">
        <v>9407926607</v>
      </c>
      <c r="Q2306" s="97">
        <v>44013</v>
      </c>
      <c r="R2306" s="14">
        <v>390000</v>
      </c>
      <c r="S2306" s="14">
        <v>499200</v>
      </c>
    </row>
    <row r="2307" spans="2:19" ht="12.75" hidden="1" customHeight="1" x14ac:dyDescent="0.25">
      <c r="B2307" s="100">
        <v>44084.083333333336</v>
      </c>
      <c r="C2307" s="101" t="s">
        <v>2191</v>
      </c>
      <c r="D2307" s="34"/>
      <c r="E2307" s="37">
        <v>7800000</v>
      </c>
      <c r="F2307" s="37"/>
      <c r="G2307" s="37">
        <f t="shared" si="423"/>
        <v>7800000</v>
      </c>
      <c r="H2307" s="64"/>
      <c r="I2307" s="64">
        <v>228609.9</v>
      </c>
      <c r="J2307" s="64">
        <v>66758.33</v>
      </c>
      <c r="K2307" s="18">
        <f t="shared" si="424"/>
        <v>7504631.7699999996</v>
      </c>
      <c r="L2307" s="19">
        <f t="shared" si="425"/>
        <v>42500000</v>
      </c>
      <c r="M2307" s="20"/>
      <c r="N2307" s="20"/>
      <c r="O2307" s="81"/>
      <c r="P2307" s="55">
        <v>9408631349</v>
      </c>
      <c r="Q2307" s="97">
        <v>44044</v>
      </c>
      <c r="R2307" s="14">
        <v>390000</v>
      </c>
      <c r="S2307" s="14">
        <v>499200</v>
      </c>
    </row>
    <row r="2308" spans="2:19" ht="12.75" hidden="1" customHeight="1" x14ac:dyDescent="0.25">
      <c r="B2308" s="100">
        <v>44117.083333333336</v>
      </c>
      <c r="C2308" s="101" t="s">
        <v>2192</v>
      </c>
      <c r="D2308" s="34"/>
      <c r="E2308" s="37">
        <v>7800000</v>
      </c>
      <c r="F2308" s="37"/>
      <c r="G2308" s="37">
        <f t="shared" si="423"/>
        <v>7800000</v>
      </c>
      <c r="H2308" s="64"/>
      <c r="I2308" s="64">
        <v>228609.9</v>
      </c>
      <c r="J2308" s="64">
        <v>66758.33</v>
      </c>
      <c r="K2308" s="18">
        <f t="shared" si="424"/>
        <v>7504631.7699999996</v>
      </c>
      <c r="L2308" s="19">
        <f t="shared" si="425"/>
        <v>34700000</v>
      </c>
      <c r="M2308" s="20"/>
      <c r="N2308" s="20"/>
      <c r="O2308" s="81"/>
      <c r="P2308" s="55">
        <v>9409813730</v>
      </c>
      <c r="Q2308" s="97">
        <v>44075</v>
      </c>
      <c r="R2308" s="14">
        <v>390000</v>
      </c>
      <c r="S2308" s="14">
        <v>499200</v>
      </c>
    </row>
    <row r="2309" spans="2:19" ht="12.75" hidden="1" customHeight="1" x14ac:dyDescent="0.25">
      <c r="B2309" s="100">
        <v>44153.125</v>
      </c>
      <c r="C2309" s="101" t="s">
        <v>2193</v>
      </c>
      <c r="D2309" s="34"/>
      <c r="E2309" s="37">
        <v>7800000</v>
      </c>
      <c r="F2309" s="37"/>
      <c r="G2309" s="37">
        <f t="shared" si="423"/>
        <v>7800000</v>
      </c>
      <c r="H2309" s="64"/>
      <c r="I2309" s="64">
        <v>228609.9</v>
      </c>
      <c r="J2309" s="64">
        <v>66758.33</v>
      </c>
      <c r="K2309" s="18">
        <f t="shared" si="424"/>
        <v>7504631.7699999996</v>
      </c>
      <c r="L2309" s="19">
        <f t="shared" si="425"/>
        <v>26900000</v>
      </c>
      <c r="M2309" s="20"/>
      <c r="N2309" s="20"/>
      <c r="O2309" s="81"/>
      <c r="P2309" s="55">
        <v>9410686907</v>
      </c>
      <c r="Q2309" s="97">
        <v>44105</v>
      </c>
      <c r="R2309" s="14">
        <v>390000</v>
      </c>
      <c r="S2309" s="14">
        <v>499200</v>
      </c>
    </row>
    <row r="2310" spans="2:19" ht="12.75" hidden="1" customHeight="1" x14ac:dyDescent="0.25">
      <c r="B2310" s="100">
        <v>44182.125</v>
      </c>
      <c r="C2310" s="101" t="s">
        <v>2194</v>
      </c>
      <c r="D2310" s="34"/>
      <c r="E2310" s="37">
        <v>7800000</v>
      </c>
      <c r="F2310" s="37"/>
      <c r="G2310" s="37">
        <f t="shared" si="423"/>
        <v>7800000</v>
      </c>
      <c r="H2310" s="64"/>
      <c r="I2310" s="64">
        <v>228609.9</v>
      </c>
      <c r="J2310" s="64">
        <v>66758.33</v>
      </c>
      <c r="K2310" s="18">
        <f t="shared" si="424"/>
        <v>7504631.7699999996</v>
      </c>
      <c r="L2310" s="19">
        <f t="shared" si="425"/>
        <v>19100000</v>
      </c>
      <c r="M2310" s="20"/>
      <c r="N2310" s="20"/>
      <c r="O2310" s="81"/>
      <c r="P2310" s="55">
        <v>9411966491</v>
      </c>
      <c r="Q2310" s="97">
        <v>44136</v>
      </c>
      <c r="R2310" s="14">
        <v>390000</v>
      </c>
      <c r="S2310" s="14">
        <v>499200</v>
      </c>
    </row>
    <row r="2311" spans="2:19" ht="12.75" hidden="1" customHeight="1" x14ac:dyDescent="0.25">
      <c r="B2311" s="100">
        <v>44193.125</v>
      </c>
      <c r="C2311" s="101" t="s">
        <v>2195</v>
      </c>
      <c r="D2311" s="34"/>
      <c r="E2311" s="37">
        <v>7800000</v>
      </c>
      <c r="F2311" s="37"/>
      <c r="G2311" s="37">
        <f t="shared" si="423"/>
        <v>7800000</v>
      </c>
      <c r="H2311" s="64"/>
      <c r="I2311" s="64">
        <v>228609.9</v>
      </c>
      <c r="J2311" s="64">
        <v>66758.33</v>
      </c>
      <c r="K2311" s="18">
        <f t="shared" si="424"/>
        <v>7504631.7699999996</v>
      </c>
      <c r="L2311" s="19">
        <f t="shared" si="425"/>
        <v>11300000</v>
      </c>
      <c r="M2311" s="20"/>
      <c r="N2311" s="20"/>
      <c r="O2311" s="81"/>
      <c r="P2311" s="55">
        <v>9412855315</v>
      </c>
      <c r="Q2311" s="97">
        <v>44166</v>
      </c>
      <c r="R2311" s="14">
        <v>390000</v>
      </c>
      <c r="S2311" s="14">
        <v>499200</v>
      </c>
    </row>
    <row r="2312" spans="2:19" ht="12.75" hidden="1" customHeight="1" x14ac:dyDescent="0.25">
      <c r="B2312" s="100"/>
      <c r="C2312" s="101" t="s">
        <v>2047</v>
      </c>
      <c r="D2312" s="34"/>
      <c r="E2312" s="37">
        <v>11300000</v>
      </c>
      <c r="F2312" s="37"/>
      <c r="G2312" s="37">
        <f t="shared" si="423"/>
        <v>11300000</v>
      </c>
      <c r="H2312" s="64"/>
      <c r="I2312" s="64"/>
      <c r="J2312" s="64"/>
      <c r="K2312" s="18">
        <f t="shared" si="424"/>
        <v>11300000</v>
      </c>
      <c r="L2312" s="19">
        <f t="shared" si="425"/>
        <v>0</v>
      </c>
      <c r="M2312" s="20"/>
      <c r="N2312" s="20"/>
      <c r="O2312" s="81"/>
      <c r="P2312" s="55"/>
      <c r="Q2312" s="97"/>
      <c r="R2312" s="14"/>
      <c r="S2312" s="14"/>
    </row>
    <row r="2313" spans="2:19" ht="15" hidden="1" x14ac:dyDescent="0.25">
      <c r="B2313" s="9" t="s">
        <v>2196</v>
      </c>
      <c r="C2313" s="10"/>
      <c r="D2313" s="11">
        <v>111200000</v>
      </c>
      <c r="E2313" s="11">
        <f>+D2313</f>
        <v>111200000</v>
      </c>
      <c r="F2313" s="11"/>
      <c r="G2313" s="11"/>
      <c r="H2313" s="11"/>
      <c r="I2313" s="11"/>
      <c r="J2313" s="11"/>
      <c r="K2313" s="11"/>
      <c r="L2313" s="11">
        <f>+D2313</f>
        <v>111200000</v>
      </c>
      <c r="M2313" s="12"/>
      <c r="N2313" s="12"/>
      <c r="P2313" s="55"/>
      <c r="Q2313" s="55"/>
      <c r="R2313" s="14"/>
      <c r="S2313" s="14"/>
    </row>
    <row r="2314" spans="2:19" ht="12.75" hidden="1" customHeight="1" x14ac:dyDescent="0.25">
      <c r="B2314" s="100">
        <v>43878.125</v>
      </c>
      <c r="C2314" s="101" t="s">
        <v>2197</v>
      </c>
      <c r="D2314" s="34"/>
      <c r="E2314" s="37">
        <v>3520000</v>
      </c>
      <c r="F2314" s="37"/>
      <c r="G2314" s="37">
        <f t="shared" ref="G2314:G2327" si="426">+E2314</f>
        <v>3520000</v>
      </c>
      <c r="H2314" s="64"/>
      <c r="I2314" s="64"/>
      <c r="J2314" s="64">
        <v>30448.32</v>
      </c>
      <c r="K2314" s="18">
        <f t="shared" ref="K2314:K2327" si="427">+G2314-H2314-I2314-J2314</f>
        <v>3489551.68</v>
      </c>
      <c r="L2314" s="19">
        <f t="shared" ref="L2314:L2327" si="428">+L2313-G2314</f>
        <v>107680000</v>
      </c>
      <c r="M2314" s="20"/>
      <c r="N2314" s="20"/>
      <c r="O2314" s="81">
        <f>+L2327-'[1]ANEXO 7 - PPTO VIG 2020'!T81</f>
        <v>0</v>
      </c>
      <c r="P2314" s="55">
        <v>9401974628</v>
      </c>
      <c r="Q2314" s="97">
        <v>43831</v>
      </c>
      <c r="R2314" s="14">
        <v>161400</v>
      </c>
      <c r="S2314" s="14">
        <v>206600</v>
      </c>
    </row>
    <row r="2315" spans="2:19" ht="12.75" hidden="1" customHeight="1" x14ac:dyDescent="0.25">
      <c r="B2315" s="100">
        <v>43895.125</v>
      </c>
      <c r="C2315" s="101" t="s">
        <v>2198</v>
      </c>
      <c r="D2315" s="34"/>
      <c r="E2315" s="37">
        <v>8800000</v>
      </c>
      <c r="F2315" s="37"/>
      <c r="G2315" s="37">
        <f t="shared" si="426"/>
        <v>8800000</v>
      </c>
      <c r="H2315" s="64"/>
      <c r="I2315" s="64">
        <v>340315.65</v>
      </c>
      <c r="J2315" s="64">
        <v>75317.09</v>
      </c>
      <c r="K2315" s="18">
        <f t="shared" si="427"/>
        <v>8384367.2599999998</v>
      </c>
      <c r="L2315" s="19">
        <f t="shared" si="428"/>
        <v>98880000</v>
      </c>
      <c r="M2315" s="20"/>
      <c r="N2315" s="20"/>
      <c r="O2315" s="81"/>
      <c r="P2315" s="55">
        <v>9403398448</v>
      </c>
      <c r="Q2315" s="97">
        <v>43862</v>
      </c>
      <c r="R2315" s="14">
        <v>440000</v>
      </c>
      <c r="S2315" s="14">
        <v>598400</v>
      </c>
    </row>
    <row r="2316" spans="2:19" ht="12.75" hidden="1" customHeight="1" x14ac:dyDescent="0.25">
      <c r="B2316" s="100">
        <v>43942.083333333336</v>
      </c>
      <c r="C2316" s="101" t="s">
        <v>2199</v>
      </c>
      <c r="D2316" s="34"/>
      <c r="E2316" s="37">
        <v>8800000</v>
      </c>
      <c r="F2316" s="37"/>
      <c r="G2316" s="37">
        <f t="shared" si="426"/>
        <v>8800000</v>
      </c>
      <c r="H2316" s="64"/>
      <c r="I2316" s="64">
        <v>523776.01</v>
      </c>
      <c r="J2316" s="64">
        <v>85008</v>
      </c>
      <c r="K2316" s="18">
        <f t="shared" si="427"/>
        <v>8191215.9900000002</v>
      </c>
      <c r="L2316" s="19">
        <f t="shared" si="428"/>
        <v>90080000</v>
      </c>
      <c r="M2316" s="20"/>
      <c r="N2316" s="20"/>
      <c r="O2316" s="81"/>
      <c r="P2316" s="55">
        <v>9404423580</v>
      </c>
      <c r="Q2316" s="97">
        <v>43891</v>
      </c>
      <c r="R2316" s="14">
        <v>444000</v>
      </c>
      <c r="S2316" s="14">
        <v>598400</v>
      </c>
    </row>
    <row r="2317" spans="2:19" ht="12.75" hidden="1" customHeight="1" x14ac:dyDescent="0.25">
      <c r="B2317" s="100">
        <v>43958.083333333336</v>
      </c>
      <c r="C2317" s="101" t="s">
        <v>2200</v>
      </c>
      <c r="D2317" s="34"/>
      <c r="E2317" s="37">
        <v>8800000</v>
      </c>
      <c r="F2317" s="37"/>
      <c r="G2317" s="37">
        <f t="shared" si="426"/>
        <v>8800000</v>
      </c>
      <c r="H2317" s="64"/>
      <c r="I2317" s="64">
        <v>340315.65</v>
      </c>
      <c r="J2317" s="64">
        <v>75317.09</v>
      </c>
      <c r="K2317" s="18">
        <f t="shared" si="427"/>
        <v>8384367.2599999998</v>
      </c>
      <c r="L2317" s="19">
        <f t="shared" si="428"/>
        <v>81280000</v>
      </c>
      <c r="M2317" s="20"/>
      <c r="N2317" s="20"/>
      <c r="O2317" s="81"/>
      <c r="P2317" s="55">
        <v>9405537311</v>
      </c>
      <c r="Q2317" s="97">
        <v>43922</v>
      </c>
      <c r="R2317" s="14">
        <v>440000</v>
      </c>
      <c r="S2317" s="14">
        <v>105600</v>
      </c>
    </row>
    <row r="2318" spans="2:19" ht="12.75" hidden="1" customHeight="1" x14ac:dyDescent="0.25">
      <c r="B2318" s="100">
        <v>43987.083333333336</v>
      </c>
      <c r="C2318" s="101" t="s">
        <v>2201</v>
      </c>
      <c r="D2318" s="34"/>
      <c r="E2318" s="37">
        <v>8800000</v>
      </c>
      <c r="F2318" s="37"/>
      <c r="G2318" s="37">
        <f t="shared" si="426"/>
        <v>8800000</v>
      </c>
      <c r="H2318" s="64"/>
      <c r="I2318" s="64">
        <v>405335.99</v>
      </c>
      <c r="J2318" s="64">
        <v>79737.5</v>
      </c>
      <c r="K2318" s="18">
        <f t="shared" si="427"/>
        <v>8314926.5099999998</v>
      </c>
      <c r="L2318" s="19">
        <f t="shared" si="428"/>
        <v>72480000</v>
      </c>
      <c r="M2318" s="20"/>
      <c r="N2318" s="20"/>
      <c r="O2318" s="81"/>
      <c r="P2318" s="55">
        <v>9407522467</v>
      </c>
      <c r="Q2318" s="97">
        <v>43952</v>
      </c>
      <c r="R2318" s="14">
        <v>440000</v>
      </c>
      <c r="S2318" s="14">
        <v>105600</v>
      </c>
    </row>
    <row r="2319" spans="2:19" ht="12.75" hidden="1" customHeight="1" x14ac:dyDescent="0.25">
      <c r="B2319" s="100">
        <v>44019.083333333336</v>
      </c>
      <c r="C2319" s="101" t="s">
        <v>2202</v>
      </c>
      <c r="D2319" s="34"/>
      <c r="E2319" s="37">
        <v>8800000</v>
      </c>
      <c r="F2319" s="37"/>
      <c r="G2319" s="37">
        <f t="shared" si="426"/>
        <v>8800000</v>
      </c>
      <c r="H2319" s="64"/>
      <c r="I2319" s="64">
        <v>405335.99</v>
      </c>
      <c r="J2319" s="64">
        <v>79737.5</v>
      </c>
      <c r="K2319" s="18">
        <f t="shared" si="427"/>
        <v>8314926.5099999998</v>
      </c>
      <c r="L2319" s="19">
        <f t="shared" si="428"/>
        <v>63680000</v>
      </c>
      <c r="M2319" s="20"/>
      <c r="N2319" s="20"/>
      <c r="O2319" s="81"/>
      <c r="P2319" s="55">
        <v>9408478262</v>
      </c>
      <c r="Q2319" s="97">
        <v>43983</v>
      </c>
      <c r="R2319" s="14">
        <v>444000</v>
      </c>
      <c r="S2319" s="14">
        <v>598400</v>
      </c>
    </row>
    <row r="2320" spans="2:19" ht="12.75" hidden="1" customHeight="1" x14ac:dyDescent="0.25">
      <c r="B2320" s="100">
        <v>44056.083333333336</v>
      </c>
      <c r="C2320" s="101" t="s">
        <v>2203</v>
      </c>
      <c r="D2320" s="34"/>
      <c r="E2320" s="37">
        <v>8800000</v>
      </c>
      <c r="F2320" s="37"/>
      <c r="G2320" s="37">
        <f t="shared" si="426"/>
        <v>8800000</v>
      </c>
      <c r="H2320" s="64"/>
      <c r="I2320" s="64">
        <v>340315.65</v>
      </c>
      <c r="J2320" s="64">
        <v>75317.09</v>
      </c>
      <c r="K2320" s="18">
        <f t="shared" si="427"/>
        <v>8384367.2599999998</v>
      </c>
      <c r="L2320" s="19">
        <f t="shared" si="428"/>
        <v>54880000</v>
      </c>
      <c r="M2320" s="20"/>
      <c r="N2320" s="20"/>
      <c r="O2320" s="81"/>
      <c r="P2320" s="55">
        <v>9409519562</v>
      </c>
      <c r="Q2320" s="97">
        <v>44013</v>
      </c>
      <c r="R2320" s="14">
        <v>444000</v>
      </c>
      <c r="S2320" s="14">
        <v>598400</v>
      </c>
    </row>
    <row r="2321" spans="2:19" ht="12.75" hidden="1" customHeight="1" x14ac:dyDescent="0.25">
      <c r="B2321" s="100">
        <v>44076.083333333336</v>
      </c>
      <c r="C2321" s="101" t="s">
        <v>2204</v>
      </c>
      <c r="D2321" s="34"/>
      <c r="E2321" s="37">
        <v>8800000</v>
      </c>
      <c r="F2321" s="37"/>
      <c r="G2321" s="37">
        <f t="shared" si="426"/>
        <v>8800000</v>
      </c>
      <c r="H2321" s="64"/>
      <c r="I2321" s="64">
        <v>340315.65</v>
      </c>
      <c r="J2321" s="64">
        <v>75317.09</v>
      </c>
      <c r="K2321" s="18">
        <f t="shared" si="427"/>
        <v>8384367.2599999998</v>
      </c>
      <c r="L2321" s="19">
        <f t="shared" si="428"/>
        <v>46080000</v>
      </c>
      <c r="M2321" s="20"/>
      <c r="N2321" s="20"/>
      <c r="O2321" s="81"/>
      <c r="P2321" s="55">
        <v>9410902041</v>
      </c>
      <c r="Q2321" s="97">
        <v>44044</v>
      </c>
      <c r="R2321" s="14">
        <v>444000</v>
      </c>
      <c r="S2321" s="14">
        <v>598400</v>
      </c>
    </row>
    <row r="2322" spans="2:19" ht="12.75" hidden="1" customHeight="1" x14ac:dyDescent="0.25">
      <c r="B2322" s="100">
        <v>44109.083333333336</v>
      </c>
      <c r="C2322" s="101" t="s">
        <v>2205</v>
      </c>
      <c r="D2322" s="34"/>
      <c r="E2322" s="37">
        <v>8800000</v>
      </c>
      <c r="F2322" s="37"/>
      <c r="G2322" s="37">
        <f t="shared" si="426"/>
        <v>8800000</v>
      </c>
      <c r="H2322" s="64"/>
      <c r="I2322" s="64">
        <v>340315.65</v>
      </c>
      <c r="J2322" s="64">
        <v>75317.09</v>
      </c>
      <c r="K2322" s="18">
        <f t="shared" si="427"/>
        <v>8384367.2599999998</v>
      </c>
      <c r="L2322" s="19">
        <f t="shared" si="428"/>
        <v>37280000</v>
      </c>
      <c r="M2322" s="20"/>
      <c r="N2322" s="20"/>
      <c r="O2322" s="81"/>
      <c r="P2322" s="55">
        <v>9412150525</v>
      </c>
      <c r="Q2322" s="97">
        <v>44075</v>
      </c>
      <c r="R2322" s="14">
        <v>444000</v>
      </c>
      <c r="S2322" s="14">
        <v>598400</v>
      </c>
    </row>
    <row r="2323" spans="2:19" ht="12.75" hidden="1" customHeight="1" x14ac:dyDescent="0.25">
      <c r="B2323" s="100">
        <v>44140.125</v>
      </c>
      <c r="C2323" s="101" t="s">
        <v>2206</v>
      </c>
      <c r="D2323" s="34"/>
      <c r="E2323" s="37">
        <v>8800000</v>
      </c>
      <c r="F2323" s="37"/>
      <c r="G2323" s="37">
        <f t="shared" si="426"/>
        <v>8800000</v>
      </c>
      <c r="H2323" s="64"/>
      <c r="I2323" s="64">
        <v>340315.65</v>
      </c>
      <c r="J2323" s="64">
        <v>75317.09</v>
      </c>
      <c r="K2323" s="18">
        <f t="shared" si="427"/>
        <v>8384367.2599999998</v>
      </c>
      <c r="L2323" s="19">
        <f t="shared" si="428"/>
        <v>28480000</v>
      </c>
      <c r="M2323" s="20"/>
      <c r="N2323" s="20"/>
      <c r="O2323" s="81"/>
      <c r="P2323" s="55">
        <v>9413002999</v>
      </c>
      <c r="Q2323" s="97">
        <v>44105</v>
      </c>
      <c r="R2323" s="14">
        <v>444000</v>
      </c>
      <c r="S2323" s="14">
        <v>598400</v>
      </c>
    </row>
    <row r="2324" spans="2:19" ht="12.75" hidden="1" customHeight="1" x14ac:dyDescent="0.25">
      <c r="B2324" s="100">
        <v>44169.125</v>
      </c>
      <c r="C2324" s="101" t="s">
        <v>2207</v>
      </c>
      <c r="D2324" s="34"/>
      <c r="E2324" s="37">
        <v>8800000</v>
      </c>
      <c r="F2324" s="37"/>
      <c r="G2324" s="37">
        <f t="shared" si="426"/>
        <v>8800000</v>
      </c>
      <c r="H2324" s="64"/>
      <c r="I2324" s="64">
        <v>340315.65</v>
      </c>
      <c r="J2324" s="64">
        <v>75317.09</v>
      </c>
      <c r="K2324" s="18">
        <f t="shared" si="427"/>
        <v>8384367.2599999998</v>
      </c>
      <c r="L2324" s="19">
        <f t="shared" si="428"/>
        <v>19680000</v>
      </c>
      <c r="M2324" s="20"/>
      <c r="N2324" s="20"/>
      <c r="O2324" s="81"/>
      <c r="P2324" s="21">
        <v>9413923237</v>
      </c>
      <c r="Q2324" s="98">
        <v>44136</v>
      </c>
      <c r="R2324" s="14">
        <v>444000</v>
      </c>
      <c r="S2324" s="14">
        <v>598400</v>
      </c>
    </row>
    <row r="2325" spans="2:19" ht="12.75" hidden="1" customHeight="1" x14ac:dyDescent="0.25">
      <c r="B2325" s="100">
        <v>44189.125</v>
      </c>
      <c r="C2325" s="101" t="s">
        <v>2208</v>
      </c>
      <c r="D2325" s="34"/>
      <c r="E2325" s="37">
        <v>8800000</v>
      </c>
      <c r="F2325" s="37"/>
      <c r="G2325" s="37">
        <f t="shared" si="426"/>
        <v>8800000</v>
      </c>
      <c r="H2325" s="64"/>
      <c r="I2325" s="64">
        <v>340315.65</v>
      </c>
      <c r="J2325" s="64">
        <v>75317.09</v>
      </c>
      <c r="K2325" s="18">
        <f t="shared" si="427"/>
        <v>8384367.2599999998</v>
      </c>
      <c r="L2325" s="19">
        <f t="shared" si="428"/>
        <v>10880000</v>
      </c>
      <c r="M2325" s="20"/>
      <c r="N2325" s="20"/>
      <c r="O2325" s="81"/>
      <c r="P2325" s="55">
        <v>9413923254</v>
      </c>
      <c r="Q2325" s="97">
        <v>44166</v>
      </c>
      <c r="R2325" s="14">
        <v>444000</v>
      </c>
      <c r="S2325" s="14">
        <v>598400</v>
      </c>
    </row>
    <row r="2326" spans="2:19" ht="12.75" hidden="1" customHeight="1" x14ac:dyDescent="0.25">
      <c r="B2326" s="100">
        <v>44195.125</v>
      </c>
      <c r="C2326" s="101" t="s">
        <v>2209</v>
      </c>
      <c r="D2326" s="34"/>
      <c r="E2326" s="37">
        <v>1709785</v>
      </c>
      <c r="F2326" s="37"/>
      <c r="G2326" s="37">
        <f t="shared" si="426"/>
        <v>1709785</v>
      </c>
      <c r="H2326" s="64"/>
      <c r="I2326" s="64">
        <v>142087.21</v>
      </c>
      <c r="J2326" s="64">
        <v>8548.93</v>
      </c>
      <c r="K2326" s="18">
        <f t="shared" si="427"/>
        <v>1559148.86</v>
      </c>
      <c r="L2326" s="19">
        <f t="shared" si="428"/>
        <v>9170215</v>
      </c>
      <c r="M2326" s="20"/>
      <c r="N2326" s="20"/>
      <c r="O2326" s="81"/>
      <c r="P2326" s="55"/>
      <c r="Q2326" s="97"/>
      <c r="R2326" s="14"/>
      <c r="S2326" s="14"/>
    </row>
    <row r="2327" spans="2:19" ht="12.75" hidden="1" customHeight="1" x14ac:dyDescent="0.25">
      <c r="B2327" s="100"/>
      <c r="C2327" s="101" t="s">
        <v>2047</v>
      </c>
      <c r="D2327" s="34"/>
      <c r="E2327" s="37">
        <v>9170215</v>
      </c>
      <c r="F2327" s="37"/>
      <c r="G2327" s="37">
        <f t="shared" si="426"/>
        <v>9170215</v>
      </c>
      <c r="H2327" s="64"/>
      <c r="I2327" s="64"/>
      <c r="J2327" s="64"/>
      <c r="K2327" s="18">
        <f t="shared" si="427"/>
        <v>9170215</v>
      </c>
      <c r="L2327" s="19">
        <f t="shared" si="428"/>
        <v>0</v>
      </c>
      <c r="M2327" s="20"/>
      <c r="N2327" s="20"/>
      <c r="O2327" s="81"/>
      <c r="P2327" s="55"/>
      <c r="Q2327" s="97"/>
      <c r="R2327" s="14"/>
      <c r="S2327" s="14"/>
    </row>
    <row r="2328" spans="2:19" ht="15" hidden="1" x14ac:dyDescent="0.25">
      <c r="B2328" s="9" t="s">
        <v>2210</v>
      </c>
      <c r="C2328" s="10"/>
      <c r="D2328" s="11">
        <v>75486667</v>
      </c>
      <c r="E2328" s="11">
        <f>+D2328</f>
        <v>75486667</v>
      </c>
      <c r="F2328" s="11"/>
      <c r="G2328" s="11"/>
      <c r="H2328" s="11"/>
      <c r="I2328" s="11"/>
      <c r="J2328" s="11"/>
      <c r="K2328" s="11"/>
      <c r="L2328" s="11">
        <f>+D2328</f>
        <v>75486667</v>
      </c>
      <c r="M2328" s="12"/>
      <c r="N2328" s="12"/>
      <c r="P2328" s="55"/>
      <c r="Q2328" s="55"/>
      <c r="R2328" s="14"/>
      <c r="S2328" s="14"/>
    </row>
    <row r="2329" spans="2:19" ht="12.75" hidden="1" customHeight="1" x14ac:dyDescent="0.25">
      <c r="B2329" s="100">
        <v>43878.125</v>
      </c>
      <c r="C2329" s="101" t="s">
        <v>2211</v>
      </c>
      <c r="D2329" s="34"/>
      <c r="E2329" s="37">
        <v>1116667</v>
      </c>
      <c r="F2329" s="37"/>
      <c r="G2329" s="37">
        <f t="shared" ref="G2329:G2341" si="429">+E2329</f>
        <v>1116667</v>
      </c>
      <c r="H2329" s="64"/>
      <c r="I2329" s="64"/>
      <c r="J2329" s="64">
        <v>9557.2800000000007</v>
      </c>
      <c r="K2329" s="18">
        <f t="shared" ref="K2329:K2341" si="430">+G2329-H2329-I2329-J2329</f>
        <v>1107109.72</v>
      </c>
      <c r="L2329" s="19">
        <f t="shared" ref="L2329:L2341" si="431">+L2328-G2329</f>
        <v>74370000</v>
      </c>
      <c r="M2329" s="20"/>
      <c r="N2329" s="20"/>
      <c r="O2329" s="81">
        <f>+L2341-'[1]ANEXO 7 - PPTO VIG 2020'!T36</f>
        <v>0</v>
      </c>
      <c r="P2329" s="55">
        <v>7742395005</v>
      </c>
      <c r="Q2329" s="97">
        <v>43831</v>
      </c>
      <c r="R2329" s="14">
        <v>111000</v>
      </c>
      <c r="S2329" s="14">
        <v>142100</v>
      </c>
    </row>
    <row r="2330" spans="2:19" ht="12.75" hidden="1" customHeight="1" x14ac:dyDescent="0.25">
      <c r="B2330" s="100">
        <v>43900.083333333336</v>
      </c>
      <c r="C2330" s="101" t="s">
        <v>2212</v>
      </c>
      <c r="D2330" s="34"/>
      <c r="E2330" s="37">
        <v>6700000</v>
      </c>
      <c r="F2330" s="37"/>
      <c r="G2330" s="37">
        <f t="shared" si="429"/>
        <v>6700000</v>
      </c>
      <c r="H2330" s="64"/>
      <c r="I2330" s="64">
        <v>201207.15</v>
      </c>
      <c r="J2330" s="64">
        <v>57343.69</v>
      </c>
      <c r="K2330" s="18">
        <f t="shared" si="430"/>
        <v>6441449.1599999992</v>
      </c>
      <c r="L2330" s="19">
        <f t="shared" si="431"/>
        <v>67670000</v>
      </c>
      <c r="M2330" s="20"/>
      <c r="N2330" s="20"/>
      <c r="O2330" s="81"/>
      <c r="P2330" s="55">
        <v>7745328597</v>
      </c>
      <c r="Q2330" s="97">
        <v>43862</v>
      </c>
      <c r="R2330" s="14">
        <v>335000</v>
      </c>
      <c r="S2330" s="14">
        <v>428800</v>
      </c>
    </row>
    <row r="2331" spans="2:19" ht="12.75" hidden="1" customHeight="1" x14ac:dyDescent="0.25">
      <c r="B2331" s="100">
        <v>43941.083333333336</v>
      </c>
      <c r="C2331" s="101" t="s">
        <v>2213</v>
      </c>
      <c r="D2331" s="34"/>
      <c r="E2331" s="37">
        <v>6700000</v>
      </c>
      <c r="F2331" s="37"/>
      <c r="G2331" s="37">
        <f t="shared" si="429"/>
        <v>6700000</v>
      </c>
      <c r="H2331" s="64"/>
      <c r="I2331" s="64">
        <v>201207.15</v>
      </c>
      <c r="J2331" s="64">
        <v>57343.69</v>
      </c>
      <c r="K2331" s="18">
        <f t="shared" si="430"/>
        <v>6441449.1599999992</v>
      </c>
      <c r="L2331" s="19">
        <f t="shared" si="431"/>
        <v>60970000</v>
      </c>
      <c r="M2331" s="20"/>
      <c r="N2331" s="20"/>
      <c r="O2331" s="81"/>
      <c r="P2331" s="55">
        <v>7746842928</v>
      </c>
      <c r="Q2331" s="97">
        <v>43891</v>
      </c>
      <c r="R2331" s="14">
        <v>335000</v>
      </c>
      <c r="S2331" s="14">
        <v>428800</v>
      </c>
    </row>
    <row r="2332" spans="2:19" ht="12.75" hidden="1" customHeight="1" x14ac:dyDescent="0.25">
      <c r="B2332" s="100">
        <v>43966.083333333336</v>
      </c>
      <c r="C2332" s="101" t="s">
        <v>2214</v>
      </c>
      <c r="D2332" s="34"/>
      <c r="E2332" s="37">
        <v>6700000</v>
      </c>
      <c r="F2332" s="37"/>
      <c r="G2332" s="37">
        <f t="shared" si="429"/>
        <v>6700000</v>
      </c>
      <c r="H2332" s="64"/>
      <c r="I2332" s="64">
        <v>201207.15</v>
      </c>
      <c r="J2332" s="64">
        <v>57343.69</v>
      </c>
      <c r="K2332" s="18">
        <f t="shared" si="430"/>
        <v>6441449.1599999992</v>
      </c>
      <c r="L2332" s="19">
        <f t="shared" si="431"/>
        <v>54270000</v>
      </c>
      <c r="M2332" s="20"/>
      <c r="N2332" s="20"/>
      <c r="O2332" s="81"/>
      <c r="P2332" s="55">
        <v>7749988151</v>
      </c>
      <c r="Q2332" s="97">
        <v>43922</v>
      </c>
      <c r="R2332" s="14">
        <v>335000</v>
      </c>
      <c r="S2332" s="14">
        <v>428800</v>
      </c>
    </row>
    <row r="2333" spans="2:19" ht="12.75" hidden="1" customHeight="1" x14ac:dyDescent="0.25">
      <c r="B2333" s="100">
        <v>44005.083333333336</v>
      </c>
      <c r="C2333" s="101" t="s">
        <v>2215</v>
      </c>
      <c r="D2333" s="34"/>
      <c r="E2333" s="37">
        <v>6700000</v>
      </c>
      <c r="F2333" s="37"/>
      <c r="G2333" s="37">
        <f t="shared" si="429"/>
        <v>6700000</v>
      </c>
      <c r="H2333" s="64"/>
      <c r="I2333" s="64">
        <v>201207.15</v>
      </c>
      <c r="J2333" s="64">
        <v>57343.69</v>
      </c>
      <c r="K2333" s="18">
        <f t="shared" si="430"/>
        <v>6441449.1599999992</v>
      </c>
      <c r="L2333" s="19">
        <f t="shared" si="431"/>
        <v>47570000</v>
      </c>
      <c r="M2333" s="20"/>
      <c r="N2333" s="20"/>
      <c r="O2333" s="81"/>
      <c r="P2333" s="55">
        <v>7753011837</v>
      </c>
      <c r="Q2333" s="97">
        <v>43952</v>
      </c>
      <c r="R2333" s="14">
        <v>335000</v>
      </c>
      <c r="S2333" s="14">
        <v>428800</v>
      </c>
    </row>
    <row r="2334" spans="2:19" ht="12.75" hidden="1" customHeight="1" x14ac:dyDescent="0.25">
      <c r="B2334" s="100">
        <v>44020.083333333336</v>
      </c>
      <c r="C2334" s="101" t="s">
        <v>2216</v>
      </c>
      <c r="D2334" s="34"/>
      <c r="E2334" s="37">
        <v>6700000</v>
      </c>
      <c r="F2334" s="37"/>
      <c r="G2334" s="37">
        <f t="shared" si="429"/>
        <v>6700000</v>
      </c>
      <c r="H2334" s="64"/>
      <c r="I2334" s="64">
        <v>201207.15</v>
      </c>
      <c r="J2334" s="64">
        <v>57343.69</v>
      </c>
      <c r="K2334" s="18">
        <f t="shared" si="430"/>
        <v>6441449.1599999992</v>
      </c>
      <c r="L2334" s="19">
        <f t="shared" si="431"/>
        <v>40870000</v>
      </c>
      <c r="M2334" s="20"/>
      <c r="N2334" s="20"/>
      <c r="O2334" s="81"/>
      <c r="P2334" s="55">
        <v>7756427759</v>
      </c>
      <c r="Q2334" s="97">
        <v>43983</v>
      </c>
      <c r="R2334" s="14">
        <v>335000</v>
      </c>
      <c r="S2334" s="14">
        <v>428800</v>
      </c>
    </row>
    <row r="2335" spans="2:19" ht="12.75" hidden="1" customHeight="1" x14ac:dyDescent="0.25">
      <c r="B2335" s="100">
        <v>44056.083333333336</v>
      </c>
      <c r="C2335" s="101" t="s">
        <v>2217</v>
      </c>
      <c r="D2335" s="34"/>
      <c r="E2335" s="37">
        <v>6700000</v>
      </c>
      <c r="F2335" s="37"/>
      <c r="G2335" s="37">
        <f t="shared" si="429"/>
        <v>6700000</v>
      </c>
      <c r="H2335" s="64"/>
      <c r="I2335" s="64">
        <v>201207.15</v>
      </c>
      <c r="J2335" s="64">
        <v>57343.69</v>
      </c>
      <c r="K2335" s="18">
        <f t="shared" si="430"/>
        <v>6441449.1599999992</v>
      </c>
      <c r="L2335" s="19">
        <f t="shared" si="431"/>
        <v>34170000</v>
      </c>
      <c r="M2335" s="20"/>
      <c r="N2335" s="20"/>
      <c r="O2335" s="81"/>
      <c r="P2335" s="55">
        <v>7758913952</v>
      </c>
      <c r="Q2335" s="97">
        <v>44013</v>
      </c>
      <c r="R2335" s="14">
        <v>335000</v>
      </c>
      <c r="S2335" s="14">
        <v>428800</v>
      </c>
    </row>
    <row r="2336" spans="2:19" ht="12.75" hidden="1" customHeight="1" x14ac:dyDescent="0.25">
      <c r="B2336" s="100">
        <v>44083.083333333336</v>
      </c>
      <c r="C2336" s="101" t="s">
        <v>2218</v>
      </c>
      <c r="D2336" s="34"/>
      <c r="E2336" s="37">
        <v>6700000</v>
      </c>
      <c r="F2336" s="37"/>
      <c r="G2336" s="37">
        <f t="shared" si="429"/>
        <v>6700000</v>
      </c>
      <c r="H2336" s="64"/>
      <c r="I2336" s="64">
        <v>201207.15</v>
      </c>
      <c r="J2336" s="64">
        <v>57343.69</v>
      </c>
      <c r="K2336" s="18">
        <f t="shared" si="430"/>
        <v>6441449.1599999992</v>
      </c>
      <c r="L2336" s="19">
        <f t="shared" si="431"/>
        <v>27470000</v>
      </c>
      <c r="M2336" s="20"/>
      <c r="N2336" s="20"/>
      <c r="O2336" s="81"/>
      <c r="P2336" s="55">
        <v>7768283728</v>
      </c>
      <c r="Q2336" s="97">
        <v>44105</v>
      </c>
      <c r="R2336" s="14">
        <v>335000</v>
      </c>
      <c r="S2336" s="14">
        <v>428800</v>
      </c>
    </row>
    <row r="2337" spans="2:20" ht="12.75" hidden="1" customHeight="1" x14ac:dyDescent="0.25">
      <c r="B2337" s="100">
        <v>44117.083333333336</v>
      </c>
      <c r="C2337" s="101" t="s">
        <v>2219</v>
      </c>
      <c r="D2337" s="34"/>
      <c r="E2337" s="37">
        <v>6700000</v>
      </c>
      <c r="F2337" s="37"/>
      <c r="G2337" s="37">
        <f t="shared" si="429"/>
        <v>6700000</v>
      </c>
      <c r="H2337" s="64"/>
      <c r="I2337" s="64">
        <v>201207.15</v>
      </c>
      <c r="J2337" s="64">
        <v>57343.69</v>
      </c>
      <c r="K2337" s="18">
        <f t="shared" si="430"/>
        <v>6441449.1599999992</v>
      </c>
      <c r="L2337" s="19">
        <f t="shared" si="431"/>
        <v>20770000</v>
      </c>
      <c r="M2337" s="20"/>
      <c r="N2337" s="20"/>
      <c r="O2337" s="81"/>
      <c r="P2337" s="55">
        <v>7765302837</v>
      </c>
      <c r="Q2337" s="97">
        <v>44075</v>
      </c>
      <c r="R2337" s="14">
        <v>335000</v>
      </c>
      <c r="S2337" s="14">
        <v>428800</v>
      </c>
    </row>
    <row r="2338" spans="2:20" ht="12.75" hidden="1" customHeight="1" x14ac:dyDescent="0.25">
      <c r="B2338" s="100">
        <v>44147.125</v>
      </c>
      <c r="C2338" s="101" t="s">
        <v>2220</v>
      </c>
      <c r="D2338" s="34"/>
      <c r="E2338" s="37">
        <v>6700000</v>
      </c>
      <c r="F2338" s="37"/>
      <c r="G2338" s="37">
        <f t="shared" si="429"/>
        <v>6700000</v>
      </c>
      <c r="H2338" s="64"/>
      <c r="I2338" s="64">
        <v>201207.15</v>
      </c>
      <c r="J2338" s="64">
        <v>57343.69</v>
      </c>
      <c r="K2338" s="18">
        <f t="shared" si="430"/>
        <v>6441449.1599999992</v>
      </c>
      <c r="L2338" s="19">
        <f t="shared" si="431"/>
        <v>14070000</v>
      </c>
      <c r="M2338" s="20"/>
      <c r="N2338" s="20"/>
      <c r="O2338" s="81"/>
      <c r="P2338" s="55">
        <v>7768283728</v>
      </c>
      <c r="Q2338" s="97">
        <v>44105</v>
      </c>
      <c r="R2338" s="14">
        <v>335000</v>
      </c>
      <c r="S2338" s="14">
        <v>428800</v>
      </c>
    </row>
    <row r="2339" spans="2:20" ht="12.75" hidden="1" customHeight="1" x14ac:dyDescent="0.25">
      <c r="B2339" s="100">
        <v>44179.125</v>
      </c>
      <c r="C2339" s="101" t="s">
        <v>2221</v>
      </c>
      <c r="D2339" s="34"/>
      <c r="E2339" s="37">
        <v>6700000</v>
      </c>
      <c r="F2339" s="37"/>
      <c r="G2339" s="37">
        <f t="shared" si="429"/>
        <v>6700000</v>
      </c>
      <c r="H2339" s="64"/>
      <c r="I2339" s="64">
        <v>201207.15</v>
      </c>
      <c r="J2339" s="64">
        <v>57343.69</v>
      </c>
      <c r="K2339" s="18">
        <f t="shared" si="430"/>
        <v>6441449.1599999992</v>
      </c>
      <c r="L2339" s="19">
        <f t="shared" si="431"/>
        <v>7370000</v>
      </c>
      <c r="M2339" s="20"/>
      <c r="N2339" s="20"/>
      <c r="O2339" s="81"/>
      <c r="P2339" s="55">
        <v>7771084094</v>
      </c>
      <c r="Q2339" s="97">
        <v>44136</v>
      </c>
      <c r="R2339" s="14">
        <v>335000</v>
      </c>
      <c r="S2339" s="14">
        <v>428800</v>
      </c>
    </row>
    <row r="2340" spans="2:20" ht="12.75" hidden="1" customHeight="1" x14ac:dyDescent="0.25">
      <c r="B2340" s="100">
        <v>44193.125</v>
      </c>
      <c r="C2340" s="101" t="s">
        <v>2222</v>
      </c>
      <c r="D2340" s="34"/>
      <c r="E2340" s="37">
        <v>6700000</v>
      </c>
      <c r="F2340" s="37"/>
      <c r="G2340" s="37">
        <f t="shared" si="429"/>
        <v>6700000</v>
      </c>
      <c r="H2340" s="64"/>
      <c r="I2340" s="64">
        <v>201207.15</v>
      </c>
      <c r="J2340" s="64">
        <v>57343.69</v>
      </c>
      <c r="K2340" s="18">
        <f t="shared" si="430"/>
        <v>6441449.1599999992</v>
      </c>
      <c r="L2340" s="19">
        <f t="shared" si="431"/>
        <v>670000</v>
      </c>
      <c r="M2340" s="20"/>
      <c r="N2340" s="20"/>
      <c r="O2340" s="81"/>
      <c r="P2340" s="55">
        <v>7773905311</v>
      </c>
      <c r="Q2340" s="97">
        <v>44166</v>
      </c>
      <c r="R2340" s="14">
        <v>335000</v>
      </c>
      <c r="S2340" s="14">
        <v>428800</v>
      </c>
    </row>
    <row r="2341" spans="2:20" ht="12.75" hidden="1" customHeight="1" x14ac:dyDescent="0.25">
      <c r="B2341" s="100"/>
      <c r="C2341" s="101" t="s">
        <v>2223</v>
      </c>
      <c r="D2341" s="34"/>
      <c r="E2341" s="37">
        <v>670000</v>
      </c>
      <c r="F2341" s="37"/>
      <c r="G2341" s="37">
        <f t="shared" si="429"/>
        <v>670000</v>
      </c>
      <c r="H2341" s="64"/>
      <c r="I2341" s="64"/>
      <c r="J2341" s="64"/>
      <c r="K2341" s="18">
        <f t="shared" si="430"/>
        <v>670000</v>
      </c>
      <c r="L2341" s="19">
        <f t="shared" si="431"/>
        <v>0</v>
      </c>
      <c r="M2341" s="20"/>
      <c r="N2341" s="20"/>
      <c r="O2341" s="81"/>
      <c r="P2341" s="55"/>
      <c r="Q2341" s="97"/>
      <c r="R2341" s="14"/>
      <c r="S2341" s="14"/>
    </row>
    <row r="2342" spans="2:20" ht="13.15" hidden="1" customHeight="1" x14ac:dyDescent="0.25">
      <c r="B2342" s="9" t="s">
        <v>2224</v>
      </c>
      <c r="C2342" s="10"/>
      <c r="D2342" s="11">
        <v>103850000</v>
      </c>
      <c r="E2342" s="11">
        <f>+D2342</f>
        <v>103850000</v>
      </c>
      <c r="F2342" s="11"/>
      <c r="G2342" s="11"/>
      <c r="H2342" s="11"/>
      <c r="I2342" s="11"/>
      <c r="J2342" s="11"/>
      <c r="K2342" s="11"/>
      <c r="L2342" s="11">
        <f>+D2342</f>
        <v>103850000</v>
      </c>
      <c r="M2342" s="12"/>
      <c r="N2342" s="12"/>
      <c r="P2342" s="55"/>
      <c r="Q2342" s="55"/>
      <c r="R2342" s="14"/>
      <c r="S2342" s="14"/>
    </row>
    <row r="2343" spans="2:20" ht="12.75" hidden="1" customHeight="1" x14ac:dyDescent="0.25">
      <c r="B2343" s="100">
        <v>43882.125</v>
      </c>
      <c r="C2343" s="101" t="s">
        <v>2225</v>
      </c>
      <c r="D2343" s="34"/>
      <c r="E2343" s="37">
        <v>1550000</v>
      </c>
      <c r="F2343" s="37"/>
      <c r="G2343" s="37">
        <f t="shared" ref="G2343:G2354" si="432">+E2343</f>
        <v>1550000</v>
      </c>
      <c r="H2343" s="64"/>
      <c r="I2343" s="64"/>
      <c r="J2343" s="64">
        <v>13266.08</v>
      </c>
      <c r="K2343" s="18">
        <f t="shared" ref="K2343:K2354" si="433">+G2343-H2343-I2343-J2343</f>
        <v>1536733.92</v>
      </c>
      <c r="L2343" s="19">
        <f t="shared" ref="L2343:L2354" si="434">+L2342-G2343</f>
        <v>102300000</v>
      </c>
      <c r="M2343" s="20"/>
      <c r="N2343" s="20"/>
      <c r="O2343" s="81">
        <f>+L2354-'[1]ANEXO 7 - PPTO VIG 2020'!T107</f>
        <v>0</v>
      </c>
      <c r="P2343" s="55">
        <v>4320783028</v>
      </c>
      <c r="Q2343" s="97">
        <v>43831</v>
      </c>
      <c r="R2343" s="14">
        <v>109800</v>
      </c>
      <c r="S2343" s="14">
        <v>140500</v>
      </c>
      <c r="T2343" s="3">
        <f>+L2342*40%</f>
        <v>41540000</v>
      </c>
    </row>
    <row r="2344" spans="2:20" ht="12.75" hidden="1" customHeight="1" x14ac:dyDescent="0.25">
      <c r="B2344" s="100">
        <v>43899.083333333336</v>
      </c>
      <c r="C2344" s="101" t="s">
        <v>2226</v>
      </c>
      <c r="D2344" s="34"/>
      <c r="E2344" s="37">
        <v>9300000</v>
      </c>
      <c r="F2344" s="37"/>
      <c r="G2344" s="37">
        <f t="shared" si="432"/>
        <v>9300000</v>
      </c>
      <c r="H2344" s="64"/>
      <c r="I2344" s="64">
        <v>530251.86</v>
      </c>
      <c r="J2344" s="64">
        <v>79596.47</v>
      </c>
      <c r="K2344" s="18">
        <f t="shared" si="433"/>
        <v>8690151.6699999999</v>
      </c>
      <c r="L2344" s="19">
        <f t="shared" si="434"/>
        <v>93000000</v>
      </c>
      <c r="M2344" s="20"/>
      <c r="N2344" s="20"/>
      <c r="O2344" s="81"/>
      <c r="P2344" s="55">
        <v>4326004364</v>
      </c>
      <c r="Q2344" s="97">
        <v>43862</v>
      </c>
      <c r="R2344" s="14">
        <v>465000</v>
      </c>
      <c r="S2344" s="14">
        <v>632400</v>
      </c>
      <c r="T2344" s="3">
        <f>+T2343*12.5%</f>
        <v>5192500</v>
      </c>
    </row>
    <row r="2345" spans="2:20" ht="12.75" hidden="1" customHeight="1" x14ac:dyDescent="0.25">
      <c r="B2345" s="100">
        <v>43929.083333333336</v>
      </c>
      <c r="C2345" s="101" t="s">
        <v>2227</v>
      </c>
      <c r="D2345" s="34"/>
      <c r="E2345" s="37">
        <v>9300000</v>
      </c>
      <c r="F2345" s="37"/>
      <c r="G2345" s="37">
        <f t="shared" si="432"/>
        <v>9300000</v>
      </c>
      <c r="H2345" s="64"/>
      <c r="I2345" s="64">
        <v>586839</v>
      </c>
      <c r="J2345" s="64">
        <v>79596.47</v>
      </c>
      <c r="K2345" s="18">
        <f t="shared" si="433"/>
        <v>8633564.5299999993</v>
      </c>
      <c r="L2345" s="19">
        <f t="shared" si="434"/>
        <v>83700000</v>
      </c>
      <c r="M2345" s="20"/>
      <c r="N2345" s="20"/>
      <c r="O2345" s="81"/>
      <c r="P2345" s="55">
        <v>4329926948</v>
      </c>
      <c r="Q2345" s="97">
        <v>43891</v>
      </c>
      <c r="R2345" s="14">
        <v>465000</v>
      </c>
      <c r="S2345" s="14">
        <v>632400</v>
      </c>
      <c r="T2345" s="3">
        <f>+T2343*16%</f>
        <v>6646400</v>
      </c>
    </row>
    <row r="2346" spans="2:20" ht="12.75" hidden="1" customHeight="1" x14ac:dyDescent="0.25">
      <c r="B2346" s="100">
        <v>43958.083333333336</v>
      </c>
      <c r="C2346" s="101" t="s">
        <v>2228</v>
      </c>
      <c r="D2346" s="34"/>
      <c r="E2346" s="37">
        <v>9300000</v>
      </c>
      <c r="F2346" s="37"/>
      <c r="G2346" s="37">
        <f t="shared" si="432"/>
        <v>9300000</v>
      </c>
      <c r="H2346" s="64"/>
      <c r="I2346" s="64">
        <v>530251.86</v>
      </c>
      <c r="J2346" s="64">
        <v>79596.47</v>
      </c>
      <c r="K2346" s="18">
        <f t="shared" si="433"/>
        <v>8690151.6699999999</v>
      </c>
      <c r="L2346" s="19">
        <f t="shared" si="434"/>
        <v>74400000</v>
      </c>
      <c r="M2346" s="20"/>
      <c r="N2346" s="20"/>
      <c r="O2346" s="81"/>
      <c r="P2346" s="55">
        <v>4337251488</v>
      </c>
      <c r="Q2346" s="97">
        <v>43922</v>
      </c>
      <c r="R2346" s="14">
        <v>465000</v>
      </c>
      <c r="S2346" s="14">
        <v>111600</v>
      </c>
    </row>
    <row r="2347" spans="2:20" ht="12.75" hidden="1" customHeight="1" x14ac:dyDescent="0.25">
      <c r="B2347" s="100">
        <v>43991.083333333336</v>
      </c>
      <c r="C2347" s="101" t="s">
        <v>2229</v>
      </c>
      <c r="D2347" s="34"/>
      <c r="E2347" s="37">
        <v>9300000</v>
      </c>
      <c r="F2347" s="37"/>
      <c r="G2347" s="37">
        <f t="shared" si="432"/>
        <v>9300000</v>
      </c>
      <c r="H2347" s="64"/>
      <c r="I2347" s="64">
        <v>631807.76</v>
      </c>
      <c r="J2347" s="64">
        <v>84268.04</v>
      </c>
      <c r="K2347" s="18">
        <f t="shared" si="433"/>
        <v>8583924.2000000011</v>
      </c>
      <c r="L2347" s="19">
        <f t="shared" si="434"/>
        <v>65100000</v>
      </c>
      <c r="M2347" s="20"/>
      <c r="N2347" s="20"/>
      <c r="O2347" s="81"/>
      <c r="P2347" s="55">
        <v>4337251844</v>
      </c>
      <c r="Q2347" s="97">
        <v>43952</v>
      </c>
      <c r="R2347" s="14">
        <v>465000</v>
      </c>
      <c r="S2347" s="14">
        <v>111600</v>
      </c>
    </row>
    <row r="2348" spans="2:20" ht="12.75" hidden="1" customHeight="1" x14ac:dyDescent="0.25">
      <c r="B2348" s="100">
        <v>44020.083333333336</v>
      </c>
      <c r="C2348" s="101" t="s">
        <v>2230</v>
      </c>
      <c r="D2348" s="34"/>
      <c r="E2348" s="37">
        <v>9300000</v>
      </c>
      <c r="F2348" s="37"/>
      <c r="G2348" s="37">
        <f t="shared" si="432"/>
        <v>9300000</v>
      </c>
      <c r="H2348" s="64"/>
      <c r="I2348" s="64">
        <v>688395.01</v>
      </c>
      <c r="J2348" s="64">
        <v>84268.04</v>
      </c>
      <c r="K2348" s="18">
        <f t="shared" si="433"/>
        <v>8527336.9500000011</v>
      </c>
      <c r="L2348" s="19">
        <f t="shared" si="434"/>
        <v>55800000</v>
      </c>
      <c r="M2348" s="20"/>
      <c r="N2348" s="20"/>
      <c r="O2348" s="81"/>
      <c r="P2348" s="55">
        <v>4346337697</v>
      </c>
      <c r="Q2348" s="97">
        <v>43983</v>
      </c>
      <c r="R2348" s="14">
        <v>465000</v>
      </c>
      <c r="S2348" s="14">
        <v>632400</v>
      </c>
    </row>
    <row r="2349" spans="2:20" ht="12.75" hidden="1" customHeight="1" x14ac:dyDescent="0.25">
      <c r="B2349" s="100">
        <v>44048.083333333336</v>
      </c>
      <c r="C2349" s="101" t="s">
        <v>2231</v>
      </c>
      <c r="D2349" s="34"/>
      <c r="E2349" s="37">
        <v>9300000</v>
      </c>
      <c r="F2349" s="37"/>
      <c r="G2349" s="37">
        <f t="shared" si="432"/>
        <v>9300000</v>
      </c>
      <c r="H2349" s="64"/>
      <c r="I2349" s="64">
        <v>688395.01</v>
      </c>
      <c r="J2349" s="64">
        <v>84268.04</v>
      </c>
      <c r="K2349" s="18">
        <f t="shared" si="433"/>
        <v>8527336.9500000011</v>
      </c>
      <c r="L2349" s="19">
        <f t="shared" si="434"/>
        <v>46500000</v>
      </c>
      <c r="M2349" s="20"/>
      <c r="N2349" s="20"/>
      <c r="O2349" s="81"/>
      <c r="P2349" s="55">
        <v>4346340833</v>
      </c>
      <c r="Q2349" s="97">
        <v>44013</v>
      </c>
      <c r="R2349" s="14">
        <v>510000</v>
      </c>
      <c r="S2349" s="14">
        <v>693600</v>
      </c>
    </row>
    <row r="2350" spans="2:20" ht="12.75" hidden="1" customHeight="1" x14ac:dyDescent="0.25">
      <c r="B2350" s="100">
        <v>44078.083333333336</v>
      </c>
      <c r="C2350" s="101" t="s">
        <v>2232</v>
      </c>
      <c r="D2350" s="34"/>
      <c r="E2350" s="37">
        <v>9300000</v>
      </c>
      <c r="F2350" s="37"/>
      <c r="G2350" s="37">
        <f t="shared" si="432"/>
        <v>9300000</v>
      </c>
      <c r="H2350" s="64"/>
      <c r="I2350" s="64">
        <v>530251.86</v>
      </c>
      <c r="J2350" s="64">
        <v>79596.47</v>
      </c>
      <c r="K2350" s="18">
        <f t="shared" si="433"/>
        <v>8690151.6699999999</v>
      </c>
      <c r="L2350" s="19">
        <f t="shared" si="434"/>
        <v>37200000</v>
      </c>
      <c r="M2350" s="20"/>
      <c r="N2350" s="20"/>
      <c r="O2350" s="81"/>
      <c r="P2350" s="55">
        <v>4355094314</v>
      </c>
      <c r="Q2350" s="97">
        <v>44044</v>
      </c>
      <c r="R2350" s="14">
        <v>465000</v>
      </c>
      <c r="S2350" s="14">
        <v>632400</v>
      </c>
    </row>
    <row r="2351" spans="2:20" ht="12.75" hidden="1" customHeight="1" x14ac:dyDescent="0.25">
      <c r="B2351" s="100">
        <v>44113.083333333336</v>
      </c>
      <c r="C2351" s="101" t="s">
        <v>2233</v>
      </c>
      <c r="D2351" s="34"/>
      <c r="E2351" s="37">
        <v>9300000</v>
      </c>
      <c r="F2351" s="37"/>
      <c r="G2351" s="37">
        <f t="shared" si="432"/>
        <v>9300000</v>
      </c>
      <c r="H2351" s="64"/>
      <c r="I2351" s="64">
        <v>522061.89</v>
      </c>
      <c r="J2351" s="64">
        <v>79596.47</v>
      </c>
      <c r="K2351" s="18">
        <f t="shared" si="433"/>
        <v>8698341.6399999987</v>
      </c>
      <c r="L2351" s="19">
        <f t="shared" si="434"/>
        <v>27900000</v>
      </c>
      <c r="M2351" s="20"/>
      <c r="N2351" s="20"/>
      <c r="O2351" s="81"/>
      <c r="P2351" s="55">
        <v>4360841802</v>
      </c>
      <c r="Q2351" s="97">
        <v>44075</v>
      </c>
      <c r="R2351" s="14">
        <v>465000</v>
      </c>
      <c r="S2351" s="14">
        <v>632400</v>
      </c>
    </row>
    <row r="2352" spans="2:20" ht="12.75" hidden="1" customHeight="1" x14ac:dyDescent="0.25">
      <c r="B2352" s="100">
        <v>44147.125</v>
      </c>
      <c r="C2352" s="101" t="s">
        <v>2234</v>
      </c>
      <c r="D2352" s="34"/>
      <c r="E2352" s="37">
        <v>9300000</v>
      </c>
      <c r="F2352" s="37"/>
      <c r="G2352" s="37">
        <f t="shared" si="432"/>
        <v>9300000</v>
      </c>
      <c r="H2352" s="64"/>
      <c r="I2352" s="64">
        <v>529873.86</v>
      </c>
      <c r="J2352" s="64">
        <v>79596.47</v>
      </c>
      <c r="K2352" s="18">
        <f t="shared" si="433"/>
        <v>8690529.6699999999</v>
      </c>
      <c r="L2352" s="19">
        <f t="shared" si="434"/>
        <v>18600000</v>
      </c>
      <c r="M2352" s="20"/>
      <c r="N2352" s="20"/>
      <c r="O2352" s="81"/>
      <c r="P2352" s="55">
        <v>4365637634</v>
      </c>
      <c r="Q2352" s="97">
        <v>44105</v>
      </c>
      <c r="R2352" s="14">
        <v>465000</v>
      </c>
      <c r="S2352" s="14">
        <v>632400</v>
      </c>
    </row>
    <row r="2353" spans="2:19" ht="12.75" hidden="1" customHeight="1" x14ac:dyDescent="0.25">
      <c r="B2353" s="100">
        <v>44175.125</v>
      </c>
      <c r="C2353" s="101" t="s">
        <v>2235</v>
      </c>
      <c r="D2353" s="34"/>
      <c r="E2353" s="37">
        <v>9300000</v>
      </c>
      <c r="F2353" s="37"/>
      <c r="G2353" s="37">
        <f t="shared" si="432"/>
        <v>9300000</v>
      </c>
      <c r="H2353" s="64"/>
      <c r="I2353" s="64">
        <v>529873.86</v>
      </c>
      <c r="J2353" s="64">
        <v>79596.47</v>
      </c>
      <c r="K2353" s="18">
        <f t="shared" si="433"/>
        <v>8690529.6699999999</v>
      </c>
      <c r="L2353" s="19">
        <f t="shared" si="434"/>
        <v>9300000</v>
      </c>
      <c r="M2353" s="20"/>
      <c r="N2353" s="20"/>
      <c r="O2353" s="81"/>
      <c r="P2353" s="55">
        <v>4367579518</v>
      </c>
      <c r="Q2353" s="97">
        <v>44136</v>
      </c>
      <c r="R2353" s="14">
        <v>465000</v>
      </c>
      <c r="S2353" s="14">
        <v>632400</v>
      </c>
    </row>
    <row r="2354" spans="2:19" ht="12.75" hidden="1" customHeight="1" x14ac:dyDescent="0.25">
      <c r="B2354" s="100">
        <v>44189.125</v>
      </c>
      <c r="C2354" s="101" t="s">
        <v>2236</v>
      </c>
      <c r="D2354" s="34"/>
      <c r="E2354" s="37">
        <v>9300000</v>
      </c>
      <c r="F2354" s="37"/>
      <c r="G2354" s="37">
        <f t="shared" si="432"/>
        <v>9300000</v>
      </c>
      <c r="H2354" s="64"/>
      <c r="I2354" s="64">
        <v>529873.86</v>
      </c>
      <c r="J2354" s="64">
        <v>79596.47</v>
      </c>
      <c r="K2354" s="18">
        <f t="shared" si="433"/>
        <v>8690529.6699999999</v>
      </c>
      <c r="L2354" s="19">
        <f t="shared" si="434"/>
        <v>0</v>
      </c>
      <c r="M2354" s="20"/>
      <c r="N2354" s="20"/>
      <c r="O2354" s="81"/>
      <c r="P2354" s="21">
        <v>4367580141</v>
      </c>
      <c r="Q2354" s="98">
        <v>44166</v>
      </c>
      <c r="R2354" s="14">
        <v>465000</v>
      </c>
      <c r="S2354" s="14">
        <v>632400</v>
      </c>
    </row>
    <row r="2355" spans="2:19" ht="15" hidden="1" x14ac:dyDescent="0.25">
      <c r="B2355" s="9" t="s">
        <v>2237</v>
      </c>
      <c r="C2355" s="10"/>
      <c r="D2355" s="11">
        <v>83450000</v>
      </c>
      <c r="E2355" s="11">
        <f>+D2355</f>
        <v>83450000</v>
      </c>
      <c r="F2355" s="11"/>
      <c r="G2355" s="11"/>
      <c r="H2355" s="11"/>
      <c r="I2355" s="11"/>
      <c r="J2355" s="11"/>
      <c r="K2355" s="11"/>
      <c r="L2355" s="11">
        <f>+D2355</f>
        <v>83450000</v>
      </c>
      <c r="M2355" s="12"/>
      <c r="N2355" s="12"/>
      <c r="P2355" s="55"/>
      <c r="Q2355" s="55"/>
      <c r="R2355" s="14"/>
      <c r="S2355" s="14"/>
    </row>
    <row r="2356" spans="2:19" ht="12.75" hidden="1" customHeight="1" x14ac:dyDescent="0.25">
      <c r="B2356" s="100">
        <v>43879.125</v>
      </c>
      <c r="C2356" s="101" t="s">
        <v>2238</v>
      </c>
      <c r="D2356" s="34"/>
      <c r="E2356" s="37">
        <v>650000</v>
      </c>
      <c r="F2356" s="37"/>
      <c r="G2356" s="37">
        <f t="shared" ref="G2356:G2379" si="435">+E2356</f>
        <v>650000</v>
      </c>
      <c r="H2356" s="64"/>
      <c r="I2356" s="64"/>
      <c r="J2356" s="64">
        <v>5563.19</v>
      </c>
      <c r="K2356" s="18">
        <f t="shared" ref="K2356:K2379" si="436">+G2356-H2356-I2356-J2356</f>
        <v>644436.81000000006</v>
      </c>
      <c r="L2356" s="19">
        <f t="shared" ref="L2356:L2379" si="437">+L2355-G2356</f>
        <v>82800000</v>
      </c>
      <c r="M2356" s="20"/>
      <c r="N2356" s="20"/>
      <c r="O2356" s="81">
        <f>L2379-'[1]ANEXO 7 - PPTO VIG 2020'!T40</f>
        <v>0</v>
      </c>
      <c r="P2356" s="55">
        <v>9402616823</v>
      </c>
      <c r="Q2356" s="97">
        <v>43831</v>
      </c>
      <c r="R2356" s="14">
        <v>109800</v>
      </c>
      <c r="S2356" s="14">
        <v>140500</v>
      </c>
    </row>
    <row r="2357" spans="2:19" ht="12.75" hidden="1" customHeight="1" x14ac:dyDescent="0.25">
      <c r="B2357" s="100">
        <v>43900.083333333336</v>
      </c>
      <c r="C2357" s="101" t="s">
        <v>2239</v>
      </c>
      <c r="D2357" s="34"/>
      <c r="E2357" s="37">
        <v>5370052</v>
      </c>
      <c r="F2357" s="37"/>
      <c r="G2357" s="37">
        <f t="shared" si="435"/>
        <v>5370052</v>
      </c>
      <c r="H2357" s="64"/>
      <c r="I2357" s="64">
        <v>83388.14</v>
      </c>
      <c r="J2357" s="64">
        <v>55631.94</v>
      </c>
      <c r="K2357" s="18">
        <f t="shared" si="436"/>
        <v>5231031.92</v>
      </c>
      <c r="L2357" s="19">
        <f t="shared" si="437"/>
        <v>77429948</v>
      </c>
      <c r="M2357" s="20"/>
      <c r="N2357" s="20"/>
      <c r="O2357" s="81"/>
      <c r="P2357" s="266">
        <v>9403152432</v>
      </c>
      <c r="Q2357" s="268">
        <v>43862</v>
      </c>
      <c r="R2357" s="270">
        <v>325000</v>
      </c>
      <c r="S2357" s="270">
        <v>416000</v>
      </c>
    </row>
    <row r="2358" spans="2:19" ht="13.9" hidden="1" customHeight="1" x14ac:dyDescent="0.25">
      <c r="B2358" s="100">
        <v>43900.083333333336</v>
      </c>
      <c r="C2358" s="101" t="s">
        <v>2239</v>
      </c>
      <c r="D2358" s="34"/>
      <c r="E2358" s="37">
        <v>1129948</v>
      </c>
      <c r="F2358" s="37"/>
      <c r="G2358" s="37">
        <f t="shared" si="435"/>
        <v>1129948</v>
      </c>
      <c r="H2358" s="64"/>
      <c r="I2358" s="64"/>
      <c r="J2358" s="64"/>
      <c r="K2358" s="18">
        <f t="shared" si="436"/>
        <v>1129948</v>
      </c>
      <c r="L2358" s="19">
        <f t="shared" si="437"/>
        <v>76300000</v>
      </c>
      <c r="M2358" s="20"/>
      <c r="N2358" s="20"/>
      <c r="O2358" s="81"/>
      <c r="P2358" s="267"/>
      <c r="Q2358" s="269"/>
      <c r="R2358" s="271"/>
      <c r="S2358" s="271"/>
    </row>
    <row r="2359" spans="2:19" ht="12.75" hidden="1" customHeight="1" x14ac:dyDescent="0.25">
      <c r="B2359" s="100">
        <v>43942.083333333336</v>
      </c>
      <c r="C2359" s="101" t="s">
        <v>2240</v>
      </c>
      <c r="D2359" s="34"/>
      <c r="E2359" s="37">
        <v>5375561</v>
      </c>
      <c r="F2359" s="37"/>
      <c r="G2359" s="37">
        <f t="shared" si="435"/>
        <v>5375561</v>
      </c>
      <c r="H2359" s="64"/>
      <c r="I2359" s="64">
        <v>83388.14</v>
      </c>
      <c r="J2359" s="64">
        <v>55631.94</v>
      </c>
      <c r="K2359" s="18">
        <f t="shared" si="436"/>
        <v>5236540.92</v>
      </c>
      <c r="L2359" s="19">
        <f t="shared" si="437"/>
        <v>70924439</v>
      </c>
      <c r="M2359" s="20"/>
      <c r="N2359" s="20"/>
      <c r="O2359" s="81"/>
      <c r="P2359" s="255">
        <v>9403790230</v>
      </c>
      <c r="Q2359" s="264">
        <v>43891</v>
      </c>
      <c r="R2359" s="259">
        <v>325000</v>
      </c>
      <c r="S2359" s="259">
        <v>416000</v>
      </c>
    </row>
    <row r="2360" spans="2:19" ht="12.75" hidden="1" customHeight="1" x14ac:dyDescent="0.25">
      <c r="B2360" s="100">
        <v>43942.083333333336</v>
      </c>
      <c r="C2360" s="101" t="s">
        <v>2240</v>
      </c>
      <c r="D2360" s="34"/>
      <c r="E2360" s="37">
        <v>1124439</v>
      </c>
      <c r="F2360" s="37"/>
      <c r="G2360" s="37">
        <f t="shared" si="435"/>
        <v>1124439</v>
      </c>
      <c r="H2360" s="64"/>
      <c r="I2360" s="64"/>
      <c r="J2360" s="64"/>
      <c r="K2360" s="18">
        <f t="shared" si="436"/>
        <v>1124439</v>
      </c>
      <c r="L2360" s="19">
        <f t="shared" si="437"/>
        <v>69800000</v>
      </c>
      <c r="M2360" s="20"/>
      <c r="N2360" s="20"/>
      <c r="O2360" s="81"/>
      <c r="P2360" s="256"/>
      <c r="Q2360" s="265"/>
      <c r="R2360" s="260"/>
      <c r="S2360" s="260"/>
    </row>
    <row r="2361" spans="2:19" ht="12.75" hidden="1" customHeight="1" x14ac:dyDescent="0.25">
      <c r="B2361" s="100">
        <v>43971.083333333336</v>
      </c>
      <c r="C2361" s="101" t="s">
        <v>2241</v>
      </c>
      <c r="D2361" s="34"/>
      <c r="E2361" s="37">
        <v>5375561</v>
      </c>
      <c r="F2361" s="37"/>
      <c r="G2361" s="37">
        <f t="shared" si="435"/>
        <v>5375561</v>
      </c>
      <c r="H2361" s="64"/>
      <c r="I2361" s="64">
        <v>190918.65</v>
      </c>
      <c r="J2361" s="64">
        <v>55631.94</v>
      </c>
      <c r="K2361" s="18">
        <f t="shared" si="436"/>
        <v>5129010.4099999992</v>
      </c>
      <c r="L2361" s="19">
        <f t="shared" si="437"/>
        <v>64424439</v>
      </c>
      <c r="M2361" s="20"/>
      <c r="N2361" s="20"/>
      <c r="O2361" s="81"/>
      <c r="P2361" s="249">
        <v>9407081440</v>
      </c>
      <c r="Q2361" s="251">
        <v>43922</v>
      </c>
      <c r="R2361" s="253">
        <v>325000</v>
      </c>
      <c r="S2361" s="253">
        <v>78000</v>
      </c>
    </row>
    <row r="2362" spans="2:19" ht="12.75" hidden="1" customHeight="1" x14ac:dyDescent="0.25">
      <c r="B2362" s="100">
        <v>43971.083333333336</v>
      </c>
      <c r="C2362" s="101" t="s">
        <v>2241</v>
      </c>
      <c r="D2362" s="34"/>
      <c r="E2362" s="37">
        <v>1124439</v>
      </c>
      <c r="F2362" s="37"/>
      <c r="G2362" s="37">
        <f t="shared" si="435"/>
        <v>1124439</v>
      </c>
      <c r="H2362" s="64"/>
      <c r="I2362" s="64"/>
      <c r="J2362" s="64"/>
      <c r="K2362" s="18">
        <f t="shared" si="436"/>
        <v>1124439</v>
      </c>
      <c r="L2362" s="19">
        <f t="shared" si="437"/>
        <v>63300000</v>
      </c>
      <c r="M2362" s="20"/>
      <c r="N2362" s="20"/>
      <c r="O2362" s="81"/>
      <c r="P2362" s="250"/>
      <c r="Q2362" s="252"/>
      <c r="R2362" s="254"/>
      <c r="S2362" s="254"/>
    </row>
    <row r="2363" spans="2:19" ht="12.75" hidden="1" customHeight="1" x14ac:dyDescent="0.25">
      <c r="B2363" s="100">
        <v>44001.083333333336</v>
      </c>
      <c r="C2363" s="101" t="s">
        <v>2242</v>
      </c>
      <c r="D2363" s="34"/>
      <c r="E2363" s="37">
        <v>5375561</v>
      </c>
      <c r="F2363" s="37"/>
      <c r="G2363" s="37">
        <f t="shared" si="435"/>
        <v>5375561</v>
      </c>
      <c r="H2363" s="64"/>
      <c r="I2363" s="64">
        <v>131553.16</v>
      </c>
      <c r="J2363" s="64">
        <v>58897.02</v>
      </c>
      <c r="K2363" s="18">
        <f t="shared" si="436"/>
        <v>5185110.82</v>
      </c>
      <c r="L2363" s="19">
        <f t="shared" si="437"/>
        <v>57924439</v>
      </c>
      <c r="M2363" s="20"/>
      <c r="N2363" s="20"/>
      <c r="O2363" s="81"/>
      <c r="P2363" s="249">
        <v>9407835811</v>
      </c>
      <c r="Q2363" s="251">
        <v>43952</v>
      </c>
      <c r="R2363" s="253">
        <v>325000</v>
      </c>
      <c r="S2363" s="253">
        <v>416000</v>
      </c>
    </row>
    <row r="2364" spans="2:19" ht="12.75" hidden="1" customHeight="1" x14ac:dyDescent="0.25">
      <c r="B2364" s="100">
        <v>44001.083333333336</v>
      </c>
      <c r="C2364" s="101" t="s">
        <v>2242</v>
      </c>
      <c r="D2364" s="34"/>
      <c r="E2364" s="37">
        <v>1124439</v>
      </c>
      <c r="F2364" s="37"/>
      <c r="G2364" s="37">
        <f t="shared" si="435"/>
        <v>1124439</v>
      </c>
      <c r="H2364" s="64"/>
      <c r="I2364" s="64"/>
      <c r="J2364" s="64"/>
      <c r="K2364" s="18">
        <f t="shared" si="436"/>
        <v>1124439</v>
      </c>
      <c r="L2364" s="19">
        <f t="shared" si="437"/>
        <v>56800000</v>
      </c>
      <c r="M2364" s="20"/>
      <c r="N2364" s="20"/>
      <c r="O2364" s="81"/>
      <c r="P2364" s="250"/>
      <c r="Q2364" s="252"/>
      <c r="R2364" s="254"/>
      <c r="S2364" s="254"/>
    </row>
    <row r="2365" spans="2:19" ht="12.75" hidden="1" customHeight="1" x14ac:dyDescent="0.25">
      <c r="B2365" s="100">
        <v>44022.083333333336</v>
      </c>
      <c r="C2365" s="101" t="s">
        <v>2243</v>
      </c>
      <c r="D2365" s="34"/>
      <c r="E2365" s="37">
        <v>5370052</v>
      </c>
      <c r="F2365" s="37"/>
      <c r="G2365" s="37">
        <f t="shared" si="435"/>
        <v>5370052</v>
      </c>
      <c r="H2365" s="64"/>
      <c r="I2365" s="64">
        <v>83388.14</v>
      </c>
      <c r="J2365" s="64">
        <v>55631.94</v>
      </c>
      <c r="K2365" s="18">
        <f t="shared" si="436"/>
        <v>5231031.92</v>
      </c>
      <c r="L2365" s="19">
        <f t="shared" si="437"/>
        <v>51429948</v>
      </c>
      <c r="M2365" s="20"/>
      <c r="N2365" s="20"/>
      <c r="O2365" s="81"/>
      <c r="P2365" s="249">
        <v>9409174915</v>
      </c>
      <c r="Q2365" s="251">
        <v>43983</v>
      </c>
      <c r="R2365" s="253">
        <v>325000</v>
      </c>
      <c r="S2365" s="253">
        <v>416000</v>
      </c>
    </row>
    <row r="2366" spans="2:19" ht="12.75" hidden="1" customHeight="1" x14ac:dyDescent="0.25">
      <c r="B2366" s="100">
        <v>44056.083333333336</v>
      </c>
      <c r="C2366" s="101" t="s">
        <v>2243</v>
      </c>
      <c r="D2366" s="34"/>
      <c r="E2366" s="37">
        <v>1129948</v>
      </c>
      <c r="F2366" s="37"/>
      <c r="G2366" s="37">
        <f t="shared" si="435"/>
        <v>1129948</v>
      </c>
      <c r="H2366" s="64"/>
      <c r="I2366" s="64"/>
      <c r="J2366" s="64"/>
      <c r="K2366" s="18">
        <f t="shared" si="436"/>
        <v>1129948</v>
      </c>
      <c r="L2366" s="19">
        <f t="shared" si="437"/>
        <v>50300000</v>
      </c>
      <c r="M2366" s="20"/>
      <c r="N2366" s="20"/>
      <c r="O2366" s="81"/>
      <c r="P2366" s="250"/>
      <c r="Q2366" s="252"/>
      <c r="R2366" s="254"/>
      <c r="S2366" s="254"/>
    </row>
    <row r="2367" spans="2:19" ht="12.75" hidden="1" customHeight="1" x14ac:dyDescent="0.25">
      <c r="B2367" s="100">
        <v>44057.083333333336</v>
      </c>
      <c r="C2367" s="101" t="s">
        <v>2244</v>
      </c>
      <c r="D2367" s="34"/>
      <c r="E2367" s="37">
        <v>5370052</v>
      </c>
      <c r="F2367" s="37"/>
      <c r="G2367" s="37">
        <f t="shared" si="435"/>
        <v>5370052</v>
      </c>
      <c r="H2367" s="64"/>
      <c r="I2367" s="64">
        <v>83388.14</v>
      </c>
      <c r="J2367" s="64">
        <v>55631.94</v>
      </c>
      <c r="K2367" s="18">
        <f t="shared" si="436"/>
        <v>5231031.92</v>
      </c>
      <c r="L2367" s="19">
        <f t="shared" si="437"/>
        <v>44929948</v>
      </c>
      <c r="M2367" s="20"/>
      <c r="N2367" s="20"/>
      <c r="O2367" s="81"/>
      <c r="P2367" s="249">
        <v>9409956310</v>
      </c>
      <c r="Q2367" s="251">
        <v>44013</v>
      </c>
      <c r="R2367" s="253">
        <v>325000</v>
      </c>
      <c r="S2367" s="253">
        <v>416000</v>
      </c>
    </row>
    <row r="2368" spans="2:19" ht="12.75" hidden="1" customHeight="1" x14ac:dyDescent="0.25">
      <c r="B2368" s="100">
        <v>44057.083333333336</v>
      </c>
      <c r="C2368" s="101" t="s">
        <v>2244</v>
      </c>
      <c r="D2368" s="34"/>
      <c r="E2368" s="37">
        <v>1129948</v>
      </c>
      <c r="F2368" s="37"/>
      <c r="G2368" s="37">
        <f t="shared" si="435"/>
        <v>1129948</v>
      </c>
      <c r="H2368" s="64"/>
      <c r="I2368" s="64"/>
      <c r="J2368" s="64"/>
      <c r="K2368" s="18">
        <f t="shared" si="436"/>
        <v>1129948</v>
      </c>
      <c r="L2368" s="19">
        <f t="shared" si="437"/>
        <v>43800000</v>
      </c>
      <c r="M2368" s="20"/>
      <c r="N2368" s="20"/>
      <c r="O2368" s="81"/>
      <c r="P2368" s="250"/>
      <c r="Q2368" s="252"/>
      <c r="R2368" s="254"/>
      <c r="S2368" s="254"/>
    </row>
    <row r="2369" spans="2:20" ht="12.75" hidden="1" customHeight="1" x14ac:dyDescent="0.25">
      <c r="B2369" s="100">
        <v>44078.083333333336</v>
      </c>
      <c r="C2369" s="101" t="s">
        <v>2245</v>
      </c>
      <c r="D2369" s="34"/>
      <c r="E2369" s="37">
        <v>1129948</v>
      </c>
      <c r="F2369" s="37"/>
      <c r="G2369" s="37">
        <f t="shared" si="435"/>
        <v>1129948</v>
      </c>
      <c r="H2369" s="64"/>
      <c r="I2369" s="64"/>
      <c r="J2369" s="64"/>
      <c r="K2369" s="18">
        <f t="shared" si="436"/>
        <v>1129948</v>
      </c>
      <c r="L2369" s="19">
        <f t="shared" si="437"/>
        <v>42670052</v>
      </c>
      <c r="M2369" s="20"/>
      <c r="N2369" s="20"/>
      <c r="O2369" s="81"/>
      <c r="P2369" s="249">
        <v>9411079774</v>
      </c>
      <c r="Q2369" s="251">
        <v>44044</v>
      </c>
      <c r="R2369" s="253">
        <v>325000</v>
      </c>
      <c r="S2369" s="253">
        <v>416000</v>
      </c>
    </row>
    <row r="2370" spans="2:20" ht="12.75" hidden="1" customHeight="1" x14ac:dyDescent="0.25">
      <c r="B2370" s="100">
        <v>44078.083333333336</v>
      </c>
      <c r="C2370" s="101" t="s">
        <v>2245</v>
      </c>
      <c r="D2370" s="34"/>
      <c r="E2370" s="37">
        <v>5370052</v>
      </c>
      <c r="F2370" s="37"/>
      <c r="G2370" s="37">
        <f t="shared" si="435"/>
        <v>5370052</v>
      </c>
      <c r="H2370" s="64"/>
      <c r="I2370" s="64">
        <v>83388.14</v>
      </c>
      <c r="J2370" s="64">
        <v>55631.94</v>
      </c>
      <c r="K2370" s="18">
        <f t="shared" si="436"/>
        <v>5231031.92</v>
      </c>
      <c r="L2370" s="19">
        <f t="shared" si="437"/>
        <v>37300000</v>
      </c>
      <c r="M2370" s="20"/>
      <c r="N2370" s="20"/>
      <c r="O2370" s="81"/>
      <c r="P2370" s="250"/>
      <c r="Q2370" s="252"/>
      <c r="R2370" s="254"/>
      <c r="S2370" s="254"/>
    </row>
    <row r="2371" spans="2:20" ht="12.75" hidden="1" customHeight="1" x14ac:dyDescent="0.25">
      <c r="B2371" s="100">
        <v>44113.083333333336</v>
      </c>
      <c r="C2371" s="101" t="s">
        <v>2246</v>
      </c>
      <c r="D2371" s="34"/>
      <c r="E2371" s="37">
        <v>5370052</v>
      </c>
      <c r="F2371" s="37"/>
      <c r="G2371" s="37">
        <f t="shared" si="435"/>
        <v>5370052</v>
      </c>
      <c r="H2371" s="64"/>
      <c r="I2371" s="64">
        <v>83388.14</v>
      </c>
      <c r="J2371" s="64">
        <v>55631.94</v>
      </c>
      <c r="K2371" s="18">
        <f t="shared" si="436"/>
        <v>5231031.92</v>
      </c>
      <c r="L2371" s="19">
        <f t="shared" si="437"/>
        <v>31929948</v>
      </c>
      <c r="M2371" s="20"/>
      <c r="N2371" s="20"/>
      <c r="O2371" s="81"/>
      <c r="P2371" s="249">
        <v>9412161187</v>
      </c>
      <c r="Q2371" s="251">
        <v>44075</v>
      </c>
      <c r="R2371" s="253">
        <v>325000</v>
      </c>
      <c r="S2371" s="253">
        <v>416000</v>
      </c>
    </row>
    <row r="2372" spans="2:20" ht="12.75" hidden="1" customHeight="1" x14ac:dyDescent="0.25">
      <c r="B2372" s="100">
        <v>44113.083333333336</v>
      </c>
      <c r="C2372" s="101" t="s">
        <v>2246</v>
      </c>
      <c r="D2372" s="34"/>
      <c r="E2372" s="37">
        <v>1129948</v>
      </c>
      <c r="F2372" s="37"/>
      <c r="G2372" s="37">
        <f t="shared" si="435"/>
        <v>1129948</v>
      </c>
      <c r="H2372" s="64"/>
      <c r="I2372" s="64"/>
      <c r="J2372" s="64"/>
      <c r="K2372" s="18">
        <f t="shared" si="436"/>
        <v>1129948</v>
      </c>
      <c r="L2372" s="19">
        <f t="shared" si="437"/>
        <v>30800000</v>
      </c>
      <c r="M2372" s="20"/>
      <c r="N2372" s="20"/>
      <c r="O2372" s="81"/>
      <c r="P2372" s="250"/>
      <c r="Q2372" s="252"/>
      <c r="R2372" s="254"/>
      <c r="S2372" s="254"/>
    </row>
    <row r="2373" spans="2:20" ht="12.75" hidden="1" customHeight="1" x14ac:dyDescent="0.25">
      <c r="B2373" s="100">
        <v>44141.125</v>
      </c>
      <c r="C2373" s="101" t="s">
        <v>2247</v>
      </c>
      <c r="D2373" s="34"/>
      <c r="E2373" s="37">
        <v>1129948</v>
      </c>
      <c r="F2373" s="37"/>
      <c r="G2373" s="37">
        <f t="shared" si="435"/>
        <v>1129948</v>
      </c>
      <c r="H2373" s="64"/>
      <c r="I2373" s="64"/>
      <c r="J2373" s="64"/>
      <c r="K2373" s="18">
        <f t="shared" si="436"/>
        <v>1129948</v>
      </c>
      <c r="L2373" s="19">
        <f t="shared" si="437"/>
        <v>29670052</v>
      </c>
      <c r="M2373" s="20"/>
      <c r="N2373" s="20"/>
      <c r="O2373" s="81"/>
      <c r="P2373" s="249">
        <v>9413097369</v>
      </c>
      <c r="Q2373" s="251">
        <v>44105</v>
      </c>
      <c r="R2373" s="253">
        <v>325000</v>
      </c>
      <c r="S2373" s="253">
        <v>416000</v>
      </c>
    </row>
    <row r="2374" spans="2:20" ht="12.75" hidden="1" customHeight="1" x14ac:dyDescent="0.25">
      <c r="B2374" s="100">
        <v>44141.125</v>
      </c>
      <c r="C2374" s="101" t="s">
        <v>2247</v>
      </c>
      <c r="D2374" s="34"/>
      <c r="E2374" s="37">
        <v>5370052</v>
      </c>
      <c r="F2374" s="37"/>
      <c r="G2374" s="37">
        <f t="shared" si="435"/>
        <v>5370052</v>
      </c>
      <c r="H2374" s="64"/>
      <c r="I2374" s="64">
        <v>83388.14</v>
      </c>
      <c r="J2374" s="64">
        <v>55631.94</v>
      </c>
      <c r="K2374" s="18">
        <f t="shared" si="436"/>
        <v>5231031.92</v>
      </c>
      <c r="L2374" s="19">
        <f t="shared" si="437"/>
        <v>24300000</v>
      </c>
      <c r="M2374" s="20"/>
      <c r="N2374" s="20"/>
      <c r="O2374" s="81"/>
      <c r="P2374" s="250"/>
      <c r="Q2374" s="252"/>
      <c r="R2374" s="254"/>
      <c r="S2374" s="254"/>
    </row>
    <row r="2375" spans="2:20" ht="12.75" hidden="1" customHeight="1" x14ac:dyDescent="0.25">
      <c r="B2375" s="100">
        <v>44169.125</v>
      </c>
      <c r="C2375" s="101" t="s">
        <v>2248</v>
      </c>
      <c r="D2375" s="34"/>
      <c r="E2375" s="37">
        <v>1129948</v>
      </c>
      <c r="F2375" s="37"/>
      <c r="G2375" s="37">
        <f t="shared" si="435"/>
        <v>1129948</v>
      </c>
      <c r="H2375" s="64"/>
      <c r="I2375" s="64"/>
      <c r="J2375" s="64"/>
      <c r="K2375" s="18">
        <f t="shared" si="436"/>
        <v>1129948</v>
      </c>
      <c r="L2375" s="19">
        <f t="shared" si="437"/>
        <v>23170052</v>
      </c>
      <c r="M2375" s="20"/>
      <c r="N2375" s="20"/>
      <c r="O2375" s="81"/>
      <c r="P2375" s="249">
        <v>9413888104</v>
      </c>
      <c r="Q2375" s="251">
        <v>44136</v>
      </c>
      <c r="R2375" s="253">
        <v>325000</v>
      </c>
      <c r="S2375" s="253">
        <v>416000</v>
      </c>
    </row>
    <row r="2376" spans="2:20" ht="12.75" hidden="1" customHeight="1" x14ac:dyDescent="0.25">
      <c r="B2376" s="100">
        <v>44169.125</v>
      </c>
      <c r="C2376" s="101" t="s">
        <v>2248</v>
      </c>
      <c r="D2376" s="34"/>
      <c r="E2376" s="37">
        <v>5370052</v>
      </c>
      <c r="F2376" s="37"/>
      <c r="G2376" s="37">
        <f t="shared" si="435"/>
        <v>5370052</v>
      </c>
      <c r="H2376" s="64"/>
      <c r="I2376" s="64">
        <v>76291.67</v>
      </c>
      <c r="J2376" s="64">
        <v>55631.94</v>
      </c>
      <c r="K2376" s="18">
        <f t="shared" si="436"/>
        <v>5238128.3899999997</v>
      </c>
      <c r="L2376" s="19">
        <f t="shared" si="437"/>
        <v>17800000</v>
      </c>
      <c r="M2376" s="20"/>
      <c r="N2376" s="20"/>
      <c r="O2376" s="81"/>
      <c r="P2376" s="250"/>
      <c r="Q2376" s="252"/>
      <c r="R2376" s="254"/>
      <c r="S2376" s="254"/>
    </row>
    <row r="2377" spans="2:20" ht="12.75" hidden="1" customHeight="1" x14ac:dyDescent="0.25">
      <c r="B2377" s="100">
        <v>44193.125</v>
      </c>
      <c r="C2377" s="101" t="s">
        <v>2249</v>
      </c>
      <c r="D2377" s="34"/>
      <c r="E2377" s="37">
        <v>1129948</v>
      </c>
      <c r="F2377" s="37"/>
      <c r="G2377" s="37">
        <f t="shared" si="435"/>
        <v>1129948</v>
      </c>
      <c r="H2377" s="64"/>
      <c r="I2377" s="64"/>
      <c r="J2377" s="64"/>
      <c r="K2377" s="18">
        <f t="shared" si="436"/>
        <v>1129948</v>
      </c>
      <c r="L2377" s="19">
        <f t="shared" si="437"/>
        <v>16670052</v>
      </c>
      <c r="M2377" s="20"/>
      <c r="N2377" s="20"/>
      <c r="O2377" s="81"/>
      <c r="P2377" s="249">
        <v>9413934941</v>
      </c>
      <c r="Q2377" s="251">
        <v>44166</v>
      </c>
      <c r="R2377" s="253">
        <v>325000</v>
      </c>
      <c r="S2377" s="253">
        <v>416000</v>
      </c>
    </row>
    <row r="2378" spans="2:20" ht="12.75" hidden="1" customHeight="1" x14ac:dyDescent="0.25">
      <c r="B2378" s="100">
        <v>44193.125</v>
      </c>
      <c r="C2378" s="101" t="s">
        <v>2249</v>
      </c>
      <c r="D2378" s="34"/>
      <c r="E2378" s="37">
        <v>5370052</v>
      </c>
      <c r="F2378" s="37"/>
      <c r="G2378" s="37">
        <f t="shared" si="435"/>
        <v>5370052</v>
      </c>
      <c r="H2378" s="64"/>
      <c r="I2378" s="64">
        <v>76291.67</v>
      </c>
      <c r="J2378" s="64">
        <v>55631.94</v>
      </c>
      <c r="K2378" s="18">
        <f t="shared" si="436"/>
        <v>5238128.3899999997</v>
      </c>
      <c r="L2378" s="19">
        <f t="shared" si="437"/>
        <v>11300000</v>
      </c>
      <c r="M2378" s="20"/>
      <c r="N2378" s="20"/>
      <c r="O2378" s="81"/>
      <c r="P2378" s="250"/>
      <c r="Q2378" s="252"/>
      <c r="R2378" s="254"/>
      <c r="S2378" s="254"/>
    </row>
    <row r="2379" spans="2:20" ht="12.75" hidden="1" customHeight="1" x14ac:dyDescent="0.25">
      <c r="B2379" s="100"/>
      <c r="C2379" s="101" t="s">
        <v>2047</v>
      </c>
      <c r="D2379" s="34"/>
      <c r="E2379" s="37">
        <v>11300000</v>
      </c>
      <c r="F2379" s="37"/>
      <c r="G2379" s="37">
        <f t="shared" si="435"/>
        <v>11300000</v>
      </c>
      <c r="H2379" s="64"/>
      <c r="I2379" s="64"/>
      <c r="J2379" s="64"/>
      <c r="K2379" s="18">
        <f t="shared" si="436"/>
        <v>11300000</v>
      </c>
      <c r="L2379" s="19">
        <f t="shared" si="437"/>
        <v>0</v>
      </c>
      <c r="M2379" s="20"/>
      <c r="N2379" s="20"/>
      <c r="O2379" s="81"/>
      <c r="P2379" s="107"/>
      <c r="Q2379" s="108"/>
      <c r="R2379" s="109"/>
      <c r="S2379" s="109"/>
    </row>
    <row r="2380" spans="2:20" ht="15" hidden="1" x14ac:dyDescent="0.25">
      <c r="B2380" s="9" t="s">
        <v>2250</v>
      </c>
      <c r="C2380" s="10"/>
      <c r="D2380" s="11">
        <v>97750000</v>
      </c>
      <c r="E2380" s="11">
        <f>+D2380</f>
        <v>97750000</v>
      </c>
      <c r="F2380" s="11"/>
      <c r="G2380" s="11"/>
      <c r="H2380" s="11"/>
      <c r="I2380" s="11"/>
      <c r="J2380" s="11"/>
      <c r="K2380" s="11"/>
      <c r="L2380" s="11">
        <f>+D2380</f>
        <v>97750000</v>
      </c>
      <c r="M2380" s="12"/>
      <c r="N2380" s="12"/>
      <c r="P2380" s="55"/>
      <c r="Q2380" s="55"/>
      <c r="R2380" s="14"/>
      <c r="S2380" s="14"/>
    </row>
    <row r="2381" spans="2:20" ht="12.75" hidden="1" customHeight="1" x14ac:dyDescent="0.25">
      <c r="B2381" s="100">
        <v>43880.125</v>
      </c>
      <c r="C2381" s="101" t="s">
        <v>2251</v>
      </c>
      <c r="D2381" s="34"/>
      <c r="E2381" s="37">
        <v>2550000</v>
      </c>
      <c r="F2381" s="37"/>
      <c r="G2381" s="37">
        <f t="shared" ref="G2381:G2393" si="438">+E2381</f>
        <v>2550000</v>
      </c>
      <c r="H2381" s="64"/>
      <c r="I2381" s="64"/>
      <c r="J2381" s="64">
        <v>21824.84</v>
      </c>
      <c r="K2381" s="18">
        <f>+G2381-H2381-I2381-J2381</f>
        <v>2528175.16</v>
      </c>
      <c r="L2381" s="19">
        <f>+L2380-G2381</f>
        <v>95200000</v>
      </c>
      <c r="M2381" s="20"/>
      <c r="N2381" s="20"/>
      <c r="O2381" s="81">
        <f>+L2393-'[1]ANEXO 7 - PPTO VIG 2020'!T41</f>
        <v>0</v>
      </c>
      <c r="P2381" s="55">
        <v>1027237247</v>
      </c>
      <c r="Q2381" s="97">
        <v>43831</v>
      </c>
      <c r="R2381" s="14">
        <f>109800+127500</f>
        <v>237300</v>
      </c>
      <c r="S2381" s="14">
        <f>140500+103200</f>
        <v>243700</v>
      </c>
      <c r="T2381" s="3">
        <f>96050000*40%</f>
        <v>38420000</v>
      </c>
    </row>
    <row r="2382" spans="2:20" ht="12.75" hidden="1" customHeight="1" x14ac:dyDescent="0.25">
      <c r="B2382" s="100">
        <v>43938.083333333336</v>
      </c>
      <c r="C2382" s="101" t="s">
        <v>2252</v>
      </c>
      <c r="D2382" s="34"/>
      <c r="E2382" s="37">
        <v>8500000</v>
      </c>
      <c r="F2382" s="37"/>
      <c r="G2382" s="37">
        <f t="shared" si="438"/>
        <v>8500000</v>
      </c>
      <c r="H2382" s="64"/>
      <c r="I2382" s="64">
        <v>438347.99</v>
      </c>
      <c r="J2382" s="64">
        <v>72749.460000000006</v>
      </c>
      <c r="K2382" s="18">
        <f>+G2382-H2382-I2382-J2382</f>
        <v>7988902.5499999998</v>
      </c>
      <c r="L2382" s="19">
        <f>+L2381-G2382</f>
        <v>86700000</v>
      </c>
      <c r="M2382" s="20"/>
      <c r="N2382" s="20"/>
      <c r="O2382" s="81"/>
      <c r="P2382" s="55">
        <v>102723755</v>
      </c>
      <c r="Q2382" s="97">
        <v>43862</v>
      </c>
      <c r="R2382" s="14">
        <v>425000</v>
      </c>
      <c r="S2382" s="14">
        <v>544000</v>
      </c>
      <c r="T2382" s="3">
        <f>+T2381*12.5%</f>
        <v>4802500</v>
      </c>
    </row>
    <row r="2383" spans="2:20" ht="12.75" hidden="1" customHeight="1" x14ac:dyDescent="0.25">
      <c r="B2383" s="100">
        <v>43938.083333333336</v>
      </c>
      <c r="C2383" s="101" t="s">
        <v>2253</v>
      </c>
      <c r="D2383" s="34"/>
      <c r="E2383" s="37">
        <v>8500000</v>
      </c>
      <c r="F2383" s="37"/>
      <c r="G2383" s="37">
        <f t="shared" si="438"/>
        <v>8500000</v>
      </c>
      <c r="H2383" s="64"/>
      <c r="I2383" s="64">
        <v>438347.99</v>
      </c>
      <c r="J2383" s="64">
        <v>72749.460000000006</v>
      </c>
      <c r="K2383" s="18">
        <f>+G2383-H2383-I2383-J2383</f>
        <v>7988902.5499999998</v>
      </c>
      <c r="L2383" s="19">
        <f>+L2382-G2383</f>
        <v>78200000</v>
      </c>
      <c r="M2383" s="20"/>
      <c r="N2383" s="20"/>
      <c r="O2383" s="81"/>
      <c r="P2383" s="55">
        <v>1028575156</v>
      </c>
      <c r="Q2383" s="97">
        <v>43891</v>
      </c>
      <c r="R2383" s="14">
        <v>425000</v>
      </c>
      <c r="S2383" s="14">
        <v>544000</v>
      </c>
      <c r="T2383" s="3">
        <f>+T2381*16%</f>
        <v>6147200</v>
      </c>
    </row>
    <row r="2384" spans="2:20" ht="12.75" hidden="1" customHeight="1" x14ac:dyDescent="0.25">
      <c r="B2384" s="100">
        <v>43969.083333333336</v>
      </c>
      <c r="C2384" s="101" t="s">
        <v>2254</v>
      </c>
      <c r="D2384" s="34"/>
      <c r="E2384" s="37">
        <v>8500000</v>
      </c>
      <c r="F2384" s="37"/>
      <c r="G2384" s="37">
        <f t="shared" si="438"/>
        <v>8500000</v>
      </c>
      <c r="H2384" s="64"/>
      <c r="I2384" s="64">
        <v>438347.99</v>
      </c>
      <c r="J2384" s="64">
        <v>72749.460000000006</v>
      </c>
      <c r="K2384" s="18">
        <f t="shared" ref="K2384:K2389" si="439">+G2384-H2384-I2384-J2384</f>
        <v>7988902.5499999998</v>
      </c>
      <c r="L2384" s="19">
        <f t="shared" ref="L2384:L2389" si="440">+L2383-G2384</f>
        <v>69700000</v>
      </c>
      <c r="M2384" s="20"/>
      <c r="N2384" s="20"/>
      <c r="O2384" s="81"/>
      <c r="P2384" s="55">
        <v>1029229945</v>
      </c>
      <c r="Q2384" s="97">
        <v>43922</v>
      </c>
      <c r="R2384" s="14">
        <v>425000</v>
      </c>
      <c r="S2384" s="14">
        <v>544000</v>
      </c>
    </row>
    <row r="2385" spans="2:19" ht="12.75" hidden="1" customHeight="1" x14ac:dyDescent="0.25">
      <c r="B2385" s="100">
        <v>43994.083333333336</v>
      </c>
      <c r="C2385" s="101" t="s">
        <v>2255</v>
      </c>
      <c r="D2385" s="34"/>
      <c r="E2385" s="37">
        <v>8500000</v>
      </c>
      <c r="F2385" s="37"/>
      <c r="G2385" s="37">
        <f t="shared" si="438"/>
        <v>8500000</v>
      </c>
      <c r="H2385" s="64"/>
      <c r="I2385" s="64">
        <v>438347.99</v>
      </c>
      <c r="J2385" s="64">
        <v>72749.460000000006</v>
      </c>
      <c r="K2385" s="18">
        <f t="shared" si="439"/>
        <v>7988902.5499999998</v>
      </c>
      <c r="L2385" s="19">
        <f t="shared" si="440"/>
        <v>61200000</v>
      </c>
      <c r="M2385" s="20"/>
      <c r="N2385" s="20"/>
      <c r="O2385" s="81"/>
      <c r="P2385" s="55">
        <v>1029933798</v>
      </c>
      <c r="Q2385" s="97">
        <v>43952</v>
      </c>
      <c r="R2385" s="14">
        <v>425000</v>
      </c>
      <c r="S2385" s="14">
        <v>544000</v>
      </c>
    </row>
    <row r="2386" spans="2:19" ht="12.75" hidden="1" customHeight="1" x14ac:dyDescent="0.25">
      <c r="B2386" s="100">
        <v>44013.083333333336</v>
      </c>
      <c r="C2386" s="101" t="s">
        <v>2256</v>
      </c>
      <c r="D2386" s="34"/>
      <c r="E2386" s="37">
        <v>8500000</v>
      </c>
      <c r="F2386" s="37"/>
      <c r="G2386" s="37">
        <f t="shared" si="438"/>
        <v>8500000</v>
      </c>
      <c r="H2386" s="64"/>
      <c r="I2386" s="64">
        <v>438347.99</v>
      </c>
      <c r="J2386" s="64">
        <v>72749.460000000006</v>
      </c>
      <c r="K2386" s="18">
        <f t="shared" si="439"/>
        <v>7988902.5499999998</v>
      </c>
      <c r="L2386" s="19">
        <f t="shared" si="440"/>
        <v>52700000</v>
      </c>
      <c r="M2386" s="20"/>
      <c r="N2386" s="20"/>
      <c r="O2386" s="81"/>
      <c r="P2386" s="55">
        <v>9406155249</v>
      </c>
      <c r="Q2386" s="97">
        <v>43983</v>
      </c>
      <c r="R2386" s="14">
        <v>425000</v>
      </c>
      <c r="S2386" s="14">
        <v>544000</v>
      </c>
    </row>
    <row r="2387" spans="2:19" ht="12.75" hidden="1" customHeight="1" x14ac:dyDescent="0.25">
      <c r="B2387" s="100">
        <v>44056.083333333336</v>
      </c>
      <c r="C2387" s="101" t="s">
        <v>2257</v>
      </c>
      <c r="D2387" s="34"/>
      <c r="E2387" s="37">
        <v>8500000</v>
      </c>
      <c r="F2387" s="37"/>
      <c r="G2387" s="37">
        <f t="shared" si="438"/>
        <v>8500000</v>
      </c>
      <c r="H2387" s="64"/>
      <c r="I2387" s="64">
        <v>438347.99</v>
      </c>
      <c r="J2387" s="64">
        <v>72749.460000000006</v>
      </c>
      <c r="K2387" s="18">
        <f t="shared" si="439"/>
        <v>7988902.5499999998</v>
      </c>
      <c r="L2387" s="19">
        <f t="shared" si="440"/>
        <v>44200000</v>
      </c>
      <c r="M2387" s="20"/>
      <c r="N2387" s="20"/>
      <c r="O2387" s="81"/>
      <c r="P2387" s="55">
        <v>1030972260</v>
      </c>
      <c r="Q2387" s="97">
        <v>44013</v>
      </c>
      <c r="R2387" s="14">
        <v>425000</v>
      </c>
      <c r="S2387" s="14">
        <v>544000</v>
      </c>
    </row>
    <row r="2388" spans="2:19" ht="12.75" hidden="1" customHeight="1" x14ac:dyDescent="0.25">
      <c r="B2388" s="100">
        <v>44082.083333333336</v>
      </c>
      <c r="C2388" s="101" t="s">
        <v>2258</v>
      </c>
      <c r="D2388" s="34"/>
      <c r="E2388" s="37">
        <v>8500000</v>
      </c>
      <c r="F2388" s="37"/>
      <c r="G2388" s="37">
        <f t="shared" si="438"/>
        <v>8500000</v>
      </c>
      <c r="H2388" s="64"/>
      <c r="I2388" s="64">
        <v>438347.99</v>
      </c>
      <c r="J2388" s="64">
        <v>72749.460000000006</v>
      </c>
      <c r="K2388" s="18">
        <f t="shared" si="439"/>
        <v>7988902.5499999998</v>
      </c>
      <c r="L2388" s="19">
        <f t="shared" si="440"/>
        <v>35700000</v>
      </c>
      <c r="M2388" s="20"/>
      <c r="N2388" s="20"/>
      <c r="O2388" s="81"/>
      <c r="P2388" s="55">
        <v>1031914255</v>
      </c>
      <c r="Q2388" s="97">
        <v>44044</v>
      </c>
      <c r="R2388" s="14">
        <v>425000</v>
      </c>
      <c r="S2388" s="14">
        <v>544000</v>
      </c>
    </row>
    <row r="2389" spans="2:19" ht="12.75" hidden="1" customHeight="1" x14ac:dyDescent="0.25">
      <c r="B2389" s="100">
        <v>44113.083333333336</v>
      </c>
      <c r="C2389" s="101" t="s">
        <v>2259</v>
      </c>
      <c r="D2389" s="34"/>
      <c r="E2389" s="37">
        <v>8500000</v>
      </c>
      <c r="F2389" s="37"/>
      <c r="G2389" s="37">
        <f t="shared" si="438"/>
        <v>8500000</v>
      </c>
      <c r="H2389" s="64"/>
      <c r="I2389" s="64">
        <v>438347.99</v>
      </c>
      <c r="J2389" s="64">
        <v>72749.460000000006</v>
      </c>
      <c r="K2389" s="18">
        <f t="shared" si="439"/>
        <v>7988902.5499999998</v>
      </c>
      <c r="L2389" s="19">
        <f t="shared" si="440"/>
        <v>27200000</v>
      </c>
      <c r="M2389" s="20"/>
      <c r="N2389" s="20"/>
      <c r="O2389" s="81"/>
      <c r="P2389" s="55">
        <v>1032474698</v>
      </c>
      <c r="Q2389" s="97">
        <v>44075</v>
      </c>
      <c r="R2389" s="14">
        <v>425000</v>
      </c>
      <c r="S2389" s="14">
        <v>544000</v>
      </c>
    </row>
    <row r="2390" spans="2:19" ht="12.75" hidden="1" customHeight="1" x14ac:dyDescent="0.25">
      <c r="B2390" s="100">
        <v>44147.125</v>
      </c>
      <c r="C2390" s="101" t="s">
        <v>2260</v>
      </c>
      <c r="D2390" s="34"/>
      <c r="E2390" s="37">
        <v>8500000</v>
      </c>
      <c r="F2390" s="37"/>
      <c r="G2390" s="37">
        <f t="shared" si="438"/>
        <v>8500000</v>
      </c>
      <c r="H2390" s="64"/>
      <c r="I2390" s="64">
        <v>438347.99</v>
      </c>
      <c r="J2390" s="64">
        <v>72749.460000000006</v>
      </c>
      <c r="K2390" s="18">
        <f>+G2390-H2390-I2390-J2390</f>
        <v>7988902.5499999998</v>
      </c>
      <c r="L2390" s="19">
        <f>+L2389-G2390</f>
        <v>18700000</v>
      </c>
      <c r="M2390" s="20"/>
      <c r="N2390" s="20"/>
      <c r="O2390" s="81"/>
      <c r="P2390" s="55">
        <v>1033154695</v>
      </c>
      <c r="Q2390" s="97">
        <v>44105</v>
      </c>
      <c r="R2390" s="14">
        <v>425000</v>
      </c>
      <c r="S2390" s="14">
        <v>544000</v>
      </c>
    </row>
    <row r="2391" spans="2:19" ht="12.75" hidden="1" customHeight="1" x14ac:dyDescent="0.25">
      <c r="B2391" s="100">
        <v>44179.125</v>
      </c>
      <c r="C2391" s="101" t="s">
        <v>2261</v>
      </c>
      <c r="D2391" s="34"/>
      <c r="E2391" s="37">
        <v>8500000</v>
      </c>
      <c r="F2391" s="37"/>
      <c r="G2391" s="37">
        <f t="shared" si="438"/>
        <v>8500000</v>
      </c>
      <c r="H2391" s="64"/>
      <c r="I2391" s="64">
        <v>438347.99</v>
      </c>
      <c r="J2391" s="64">
        <v>72749.460000000006</v>
      </c>
      <c r="K2391" s="18">
        <f>+G2391-H2391-I2391-J2391</f>
        <v>7988902.5499999998</v>
      </c>
      <c r="L2391" s="19">
        <f>+L2390-G2391</f>
        <v>10200000</v>
      </c>
      <c r="M2391" s="20"/>
      <c r="N2391" s="20"/>
      <c r="O2391" s="81"/>
      <c r="P2391" s="55">
        <v>1033788507</v>
      </c>
      <c r="Q2391" s="97">
        <v>44136</v>
      </c>
      <c r="R2391" s="14">
        <v>425000</v>
      </c>
      <c r="S2391" s="14">
        <v>544000</v>
      </c>
    </row>
    <row r="2392" spans="2:19" ht="12.75" hidden="1" customHeight="1" x14ac:dyDescent="0.25">
      <c r="B2392" s="100">
        <v>44194.125</v>
      </c>
      <c r="C2392" s="101" t="s">
        <v>2262</v>
      </c>
      <c r="D2392" s="34"/>
      <c r="E2392" s="37">
        <v>8500000</v>
      </c>
      <c r="F2392" s="37"/>
      <c r="G2392" s="37">
        <f t="shared" si="438"/>
        <v>8500000</v>
      </c>
      <c r="H2392" s="64"/>
      <c r="I2392" s="64">
        <v>438347.99</v>
      </c>
      <c r="J2392" s="64">
        <v>72749.460000000006</v>
      </c>
      <c r="K2392" s="18">
        <f>+G2392-H2392-I2392-J2392</f>
        <v>7988902.5499999998</v>
      </c>
      <c r="L2392" s="19">
        <f>+L2391-G2392</f>
        <v>1700000</v>
      </c>
      <c r="M2392" s="20"/>
      <c r="N2392" s="20"/>
      <c r="O2392" s="81"/>
      <c r="P2392" s="55">
        <v>1034381153</v>
      </c>
      <c r="Q2392" s="97">
        <v>44166</v>
      </c>
      <c r="R2392" s="14">
        <v>425000</v>
      </c>
      <c r="S2392" s="14">
        <v>544000</v>
      </c>
    </row>
    <row r="2393" spans="2:19" ht="12.75" hidden="1" customHeight="1" x14ac:dyDescent="0.25">
      <c r="B2393" s="100"/>
      <c r="C2393" s="101" t="s">
        <v>2047</v>
      </c>
      <c r="D2393" s="34"/>
      <c r="E2393" s="37">
        <v>1700000</v>
      </c>
      <c r="F2393" s="37"/>
      <c r="G2393" s="37">
        <f t="shared" si="438"/>
        <v>1700000</v>
      </c>
      <c r="H2393" s="64"/>
      <c r="I2393" s="64"/>
      <c r="J2393" s="64"/>
      <c r="K2393" s="18">
        <f>+G2393-H2393-I2393-J2393</f>
        <v>1700000</v>
      </c>
      <c r="L2393" s="19">
        <f>+L2392-G2393</f>
        <v>0</v>
      </c>
      <c r="M2393" s="20"/>
      <c r="N2393" s="20"/>
      <c r="O2393" s="81"/>
      <c r="P2393" s="55"/>
      <c r="Q2393" s="97"/>
      <c r="R2393" s="14"/>
      <c r="S2393" s="14"/>
    </row>
    <row r="2394" spans="2:19" ht="15" hidden="1" x14ac:dyDescent="0.25">
      <c r="B2394" s="9" t="s">
        <v>2263</v>
      </c>
      <c r="C2394" s="10"/>
      <c r="D2394" s="11">
        <v>102600000</v>
      </c>
      <c r="E2394" s="11">
        <f>+D2394</f>
        <v>102600000</v>
      </c>
      <c r="F2394" s="11"/>
      <c r="G2394" s="11"/>
      <c r="H2394" s="11"/>
      <c r="I2394" s="11"/>
      <c r="J2394" s="11"/>
      <c r="K2394" s="11"/>
      <c r="L2394" s="11">
        <f>+D2394</f>
        <v>102600000</v>
      </c>
      <c r="M2394" s="12"/>
      <c r="N2394" s="12"/>
      <c r="P2394" s="55"/>
      <c r="Q2394" s="55"/>
      <c r="R2394" s="14"/>
      <c r="S2394" s="14"/>
    </row>
    <row r="2395" spans="2:19" ht="12.75" hidden="1" customHeight="1" x14ac:dyDescent="0.25">
      <c r="B2395" s="100">
        <v>43879.125</v>
      </c>
      <c r="C2395" s="101" t="s">
        <v>2264</v>
      </c>
      <c r="D2395" s="34"/>
      <c r="E2395" s="37">
        <v>2700000</v>
      </c>
      <c r="F2395" s="37"/>
      <c r="G2395" s="37">
        <f>+E2395</f>
        <v>2700000</v>
      </c>
      <c r="H2395" s="64"/>
      <c r="I2395" s="64"/>
      <c r="J2395" s="64">
        <v>23108.65</v>
      </c>
      <c r="K2395" s="18">
        <f>+G2395-H2395-I2395-J2395</f>
        <v>2676891.35</v>
      </c>
      <c r="L2395" s="19">
        <f>+L2394-G2395</f>
        <v>99900000</v>
      </c>
      <c r="M2395" s="20"/>
      <c r="N2395" s="20"/>
      <c r="O2395" s="81">
        <f>+L2398-'[1]ANEXO 7 - PPTO VIG 2020'!T82</f>
        <v>0</v>
      </c>
      <c r="P2395" s="110"/>
      <c r="Q2395" s="110"/>
      <c r="R2395" s="111"/>
      <c r="S2395" s="111"/>
    </row>
    <row r="2396" spans="2:19" ht="12.75" hidden="1" customHeight="1" x14ac:dyDescent="0.25">
      <c r="B2396" s="100">
        <v>43902.083333333336</v>
      </c>
      <c r="C2396" s="101" t="s">
        <v>2265</v>
      </c>
      <c r="D2396" s="34"/>
      <c r="E2396" s="37">
        <v>9000000</v>
      </c>
      <c r="F2396" s="37"/>
      <c r="G2396" s="37">
        <f>+E2396</f>
        <v>9000000</v>
      </c>
      <c r="H2396" s="64"/>
      <c r="I2396" s="64">
        <v>262225.65000000002</v>
      </c>
      <c r="J2396" s="64">
        <v>77028.84</v>
      </c>
      <c r="K2396" s="18">
        <f>+G2396-H2396-I2396-J2396</f>
        <v>8660745.5099999998</v>
      </c>
      <c r="L2396" s="19">
        <f>+L2395-G2396</f>
        <v>90900000</v>
      </c>
      <c r="M2396" s="20"/>
      <c r="N2396" s="20"/>
      <c r="O2396" s="81"/>
      <c r="P2396" s="55">
        <v>40717316</v>
      </c>
      <c r="Q2396" s="97">
        <v>43831</v>
      </c>
      <c r="R2396" s="14">
        <v>450400</v>
      </c>
      <c r="S2396" s="14">
        <v>612700</v>
      </c>
    </row>
    <row r="2397" spans="2:19" ht="12.75" hidden="1" customHeight="1" x14ac:dyDescent="0.25">
      <c r="B2397" s="100">
        <v>43936.083333333336</v>
      </c>
      <c r="C2397" s="101" t="s">
        <v>2266</v>
      </c>
      <c r="D2397" s="34"/>
      <c r="E2397" s="37">
        <v>5700000</v>
      </c>
      <c r="F2397" s="37"/>
      <c r="G2397" s="37">
        <f>+E2397</f>
        <v>5700000</v>
      </c>
      <c r="H2397" s="64"/>
      <c r="I2397" s="64">
        <v>71019.16</v>
      </c>
      <c r="J2397" s="64">
        <v>48784.93</v>
      </c>
      <c r="K2397" s="18">
        <f>+G2397-H2397-I2397-J2397</f>
        <v>5580195.9100000001</v>
      </c>
      <c r="L2397" s="19">
        <f>+L2396-G2397</f>
        <v>85200000</v>
      </c>
      <c r="M2397" s="20"/>
      <c r="N2397" s="20"/>
      <c r="O2397" s="81"/>
      <c r="P2397" s="55">
        <v>40717316</v>
      </c>
      <c r="Q2397" s="97">
        <v>43831</v>
      </c>
      <c r="R2397" s="14">
        <v>450400</v>
      </c>
      <c r="S2397" s="14">
        <v>612700</v>
      </c>
    </row>
    <row r="2398" spans="2:19" ht="12.75" hidden="1" customHeight="1" x14ac:dyDescent="0.25">
      <c r="B2398" s="100"/>
      <c r="C2398" s="50" t="s">
        <v>654</v>
      </c>
      <c r="D2398" s="34"/>
      <c r="E2398" s="37">
        <v>85200000</v>
      </c>
      <c r="F2398" s="37"/>
      <c r="G2398" s="37"/>
      <c r="H2398" s="64"/>
      <c r="I2398" s="91"/>
      <c r="J2398" s="91"/>
      <c r="K2398" s="18"/>
      <c r="L2398" s="19">
        <f>+L2397-E2398</f>
        <v>0</v>
      </c>
      <c r="M2398" s="20"/>
      <c r="N2398" s="20"/>
      <c r="O2398" s="81"/>
      <c r="P2398" s="55"/>
      <c r="Q2398" s="97"/>
      <c r="R2398" s="14"/>
      <c r="S2398" s="14"/>
    </row>
    <row r="2399" spans="2:19" ht="15" hidden="1" x14ac:dyDescent="0.25">
      <c r="B2399" s="9" t="s">
        <v>2267</v>
      </c>
      <c r="C2399" s="10"/>
      <c r="D2399" s="11">
        <v>58760000</v>
      </c>
      <c r="E2399" s="11">
        <f>+D2399</f>
        <v>58760000</v>
      </c>
      <c r="F2399" s="11"/>
      <c r="G2399" s="11"/>
      <c r="H2399" s="11"/>
      <c r="I2399" s="11"/>
      <c r="J2399" s="11"/>
      <c r="K2399" s="11"/>
      <c r="L2399" s="11">
        <f>+D2399</f>
        <v>58760000</v>
      </c>
      <c r="M2399" s="12"/>
      <c r="N2399" s="12"/>
      <c r="P2399" s="55"/>
      <c r="Q2399" s="55"/>
      <c r="R2399" s="14"/>
      <c r="S2399" s="14"/>
    </row>
    <row r="2400" spans="2:19" ht="12.75" hidden="1" customHeight="1" x14ac:dyDescent="0.25">
      <c r="B2400" s="100">
        <v>43879.125</v>
      </c>
      <c r="C2400" s="101" t="s">
        <v>2268</v>
      </c>
      <c r="D2400" s="34"/>
      <c r="E2400" s="37">
        <v>1559999</v>
      </c>
      <c r="F2400" s="37"/>
      <c r="G2400" s="37">
        <f t="shared" ref="G2400:G2412" si="441">+E2400</f>
        <v>1559999</v>
      </c>
      <c r="H2400" s="64"/>
      <c r="I2400" s="64"/>
      <c r="J2400" s="64">
        <v>13351.66</v>
      </c>
      <c r="K2400" s="18">
        <f t="shared" ref="K2400:K2412" si="442">+G2400-H2400-I2400-J2400</f>
        <v>1546647.34</v>
      </c>
      <c r="L2400" s="19">
        <f t="shared" ref="L2400:L2412" si="443">+L2399-G2400</f>
        <v>57200001</v>
      </c>
      <c r="M2400" s="20"/>
      <c r="N2400" s="20"/>
      <c r="O2400" s="81">
        <f>+L2412-'[1]ANEXO 7 - PPTO VIG 2020'!T14</f>
        <v>0</v>
      </c>
      <c r="P2400" s="55">
        <v>7744783363</v>
      </c>
      <c r="Q2400" s="97">
        <v>43831</v>
      </c>
      <c r="R2400" s="14">
        <v>110400</v>
      </c>
      <c r="S2400" s="14">
        <v>141300</v>
      </c>
    </row>
    <row r="2401" spans="2:20" ht="12.75" hidden="1" customHeight="1" x14ac:dyDescent="0.25">
      <c r="B2401" s="100">
        <v>43895.125</v>
      </c>
      <c r="C2401" s="101" t="s">
        <v>2269</v>
      </c>
      <c r="D2401" s="34"/>
      <c r="E2401" s="37">
        <v>5200000</v>
      </c>
      <c r="F2401" s="37"/>
      <c r="G2401" s="37">
        <f t="shared" si="441"/>
        <v>5200000</v>
      </c>
      <c r="H2401" s="64"/>
      <c r="I2401" s="64">
        <v>12266.4</v>
      </c>
      <c r="J2401" s="64">
        <v>44505.55</v>
      </c>
      <c r="K2401" s="18">
        <f t="shared" si="442"/>
        <v>5143228.05</v>
      </c>
      <c r="L2401" s="19">
        <f t="shared" si="443"/>
        <v>52000001</v>
      </c>
      <c r="M2401" s="20"/>
      <c r="N2401" s="20"/>
      <c r="O2401" s="81"/>
      <c r="P2401" s="55">
        <v>4326386276</v>
      </c>
      <c r="Q2401" s="97">
        <v>43862</v>
      </c>
      <c r="R2401" s="14">
        <v>260000</v>
      </c>
      <c r="S2401" s="14">
        <v>332800</v>
      </c>
    </row>
    <row r="2402" spans="2:20" ht="12.75" hidden="1" customHeight="1" x14ac:dyDescent="0.25">
      <c r="B2402" s="100">
        <v>43938.083333333336</v>
      </c>
      <c r="C2402" s="101" t="s">
        <v>2270</v>
      </c>
      <c r="D2402" s="34"/>
      <c r="E2402" s="37">
        <v>5200000</v>
      </c>
      <c r="F2402" s="37"/>
      <c r="G2402" s="37">
        <f t="shared" si="441"/>
        <v>5200000</v>
      </c>
      <c r="H2402" s="64"/>
      <c r="I2402" s="64">
        <v>98293.66</v>
      </c>
      <c r="J2402" s="64">
        <v>50232</v>
      </c>
      <c r="K2402" s="18">
        <f t="shared" si="442"/>
        <v>5051474.34</v>
      </c>
      <c r="L2402" s="19">
        <f t="shared" si="443"/>
        <v>46800001</v>
      </c>
      <c r="M2402" s="20"/>
      <c r="N2402" s="20"/>
      <c r="O2402" s="81"/>
      <c r="P2402" s="55">
        <v>7749822219</v>
      </c>
      <c r="Q2402" s="97">
        <v>43891</v>
      </c>
      <c r="R2402" s="14">
        <v>260000</v>
      </c>
      <c r="S2402" s="14">
        <v>332800</v>
      </c>
    </row>
    <row r="2403" spans="2:20" ht="12.75" hidden="1" customHeight="1" x14ac:dyDescent="0.25">
      <c r="B2403" s="100">
        <v>43958.083333333336</v>
      </c>
      <c r="C2403" s="101" t="s">
        <v>2271</v>
      </c>
      <c r="D2403" s="34"/>
      <c r="E2403" s="37">
        <v>5200000</v>
      </c>
      <c r="F2403" s="37"/>
      <c r="G2403" s="37">
        <f t="shared" si="441"/>
        <v>5200000</v>
      </c>
      <c r="H2403" s="64"/>
      <c r="I2403" s="64">
        <v>12266.4</v>
      </c>
      <c r="J2403" s="64">
        <v>44505.55</v>
      </c>
      <c r="K2403" s="18">
        <f t="shared" si="442"/>
        <v>5143228.05</v>
      </c>
      <c r="L2403" s="19">
        <f t="shared" si="443"/>
        <v>41600001</v>
      </c>
      <c r="M2403" s="20"/>
      <c r="N2403" s="20"/>
      <c r="O2403" s="81"/>
      <c r="P2403" s="55">
        <v>7752138681</v>
      </c>
      <c r="Q2403" s="97">
        <v>43922</v>
      </c>
      <c r="R2403" s="14">
        <v>260000</v>
      </c>
      <c r="S2403" s="14">
        <v>62400</v>
      </c>
    </row>
    <row r="2404" spans="2:20" ht="12.75" hidden="1" customHeight="1" x14ac:dyDescent="0.25">
      <c r="B2404" s="100">
        <v>43986.083333333336</v>
      </c>
      <c r="C2404" s="101" t="s">
        <v>2272</v>
      </c>
      <c r="D2404" s="34"/>
      <c r="E2404" s="37">
        <v>5200000</v>
      </c>
      <c r="F2404" s="37"/>
      <c r="G2404" s="37">
        <f t="shared" si="441"/>
        <v>5200000</v>
      </c>
      <c r="H2404" s="64"/>
      <c r="I2404" s="64">
        <v>50798.41</v>
      </c>
      <c r="J2404" s="64">
        <v>47117.62</v>
      </c>
      <c r="K2404" s="18">
        <f t="shared" si="442"/>
        <v>5102083.97</v>
      </c>
      <c r="L2404" s="19">
        <f t="shared" si="443"/>
        <v>36400001</v>
      </c>
      <c r="M2404" s="20"/>
      <c r="N2404" s="20"/>
      <c r="O2404" s="81"/>
      <c r="P2404" s="55">
        <v>7755070792</v>
      </c>
      <c r="Q2404" s="97">
        <v>43952</v>
      </c>
      <c r="R2404" s="14">
        <v>260000</v>
      </c>
      <c r="S2404" s="14">
        <v>62400</v>
      </c>
    </row>
    <row r="2405" spans="2:20" ht="12.75" hidden="1" customHeight="1" x14ac:dyDescent="0.25">
      <c r="B2405" s="100">
        <v>44020.083333333336</v>
      </c>
      <c r="C2405" s="101" t="s">
        <v>2273</v>
      </c>
      <c r="D2405" s="34"/>
      <c r="E2405" s="37">
        <v>5200000</v>
      </c>
      <c r="F2405" s="37"/>
      <c r="G2405" s="37">
        <f t="shared" si="441"/>
        <v>5200000</v>
      </c>
      <c r="H2405" s="64"/>
      <c r="I2405" s="64">
        <v>50798.41</v>
      </c>
      <c r="J2405" s="64">
        <v>47117.62</v>
      </c>
      <c r="K2405" s="18">
        <f t="shared" si="442"/>
        <v>5102083.97</v>
      </c>
      <c r="L2405" s="19">
        <f t="shared" si="443"/>
        <v>31200001</v>
      </c>
      <c r="M2405" s="20"/>
      <c r="N2405" s="20"/>
      <c r="O2405" s="81"/>
      <c r="P2405" s="55">
        <v>7759008099</v>
      </c>
      <c r="Q2405" s="97">
        <v>43983</v>
      </c>
      <c r="R2405" s="14">
        <v>260000</v>
      </c>
      <c r="S2405" s="14">
        <v>332800</v>
      </c>
    </row>
    <row r="2406" spans="2:20" ht="12.75" hidden="1" customHeight="1" x14ac:dyDescent="0.25">
      <c r="B2406" s="100">
        <v>44047.083333333336</v>
      </c>
      <c r="C2406" s="101" t="s">
        <v>2274</v>
      </c>
      <c r="D2406" s="34"/>
      <c r="E2406" s="37">
        <v>5200000</v>
      </c>
      <c r="F2406" s="37"/>
      <c r="G2406" s="37">
        <f t="shared" si="441"/>
        <v>5200000</v>
      </c>
      <c r="H2406" s="64"/>
      <c r="I2406" s="64">
        <v>12266.4</v>
      </c>
      <c r="J2406" s="64">
        <v>44505.55</v>
      </c>
      <c r="K2406" s="18">
        <f t="shared" si="442"/>
        <v>5143228.05</v>
      </c>
      <c r="L2406" s="19">
        <f t="shared" si="443"/>
        <v>26000001</v>
      </c>
      <c r="M2406" s="20"/>
      <c r="N2406" s="20"/>
      <c r="O2406" s="81"/>
      <c r="P2406" s="55">
        <v>7762146771</v>
      </c>
      <c r="Q2406" s="97">
        <v>44013</v>
      </c>
      <c r="R2406" s="14">
        <v>260000</v>
      </c>
      <c r="S2406" s="14">
        <v>332800</v>
      </c>
    </row>
    <row r="2407" spans="2:20" ht="12.75" hidden="1" customHeight="1" x14ac:dyDescent="0.25">
      <c r="B2407" s="100">
        <v>44076.083333333336</v>
      </c>
      <c r="C2407" s="101" t="s">
        <v>2275</v>
      </c>
      <c r="D2407" s="34"/>
      <c r="E2407" s="37">
        <v>5200000</v>
      </c>
      <c r="F2407" s="37"/>
      <c r="G2407" s="37">
        <f t="shared" si="441"/>
        <v>5200000</v>
      </c>
      <c r="H2407" s="64"/>
      <c r="I2407" s="64">
        <v>12266.4</v>
      </c>
      <c r="J2407" s="64">
        <v>44505.55</v>
      </c>
      <c r="K2407" s="18">
        <f t="shared" si="442"/>
        <v>5143228.05</v>
      </c>
      <c r="L2407" s="19">
        <f t="shared" si="443"/>
        <v>20800001</v>
      </c>
      <c r="M2407" s="20"/>
      <c r="N2407" s="20"/>
      <c r="O2407" s="81"/>
      <c r="P2407" s="55">
        <v>7765027690</v>
      </c>
      <c r="Q2407" s="97">
        <v>44044</v>
      </c>
      <c r="R2407" s="14">
        <v>260000</v>
      </c>
      <c r="S2407" s="14">
        <v>332800</v>
      </c>
    </row>
    <row r="2408" spans="2:20" ht="12.75" hidden="1" customHeight="1" x14ac:dyDescent="0.25">
      <c r="B2408" s="100">
        <v>44109.083333333336</v>
      </c>
      <c r="C2408" s="101" t="s">
        <v>2276</v>
      </c>
      <c r="D2408" s="34"/>
      <c r="E2408" s="37">
        <v>5200000</v>
      </c>
      <c r="F2408" s="37"/>
      <c r="G2408" s="37">
        <f t="shared" si="441"/>
        <v>5200000</v>
      </c>
      <c r="H2408" s="64"/>
      <c r="I2408" s="64">
        <v>12266.4</v>
      </c>
      <c r="J2408" s="64">
        <v>44505.55</v>
      </c>
      <c r="K2408" s="18">
        <f t="shared" si="442"/>
        <v>5143228.05</v>
      </c>
      <c r="L2408" s="19">
        <f t="shared" si="443"/>
        <v>15600001</v>
      </c>
      <c r="M2408" s="20"/>
      <c r="N2408" s="20"/>
      <c r="O2408" s="81"/>
      <c r="P2408" s="55">
        <v>7768017051</v>
      </c>
      <c r="Q2408" s="97">
        <v>44075</v>
      </c>
      <c r="R2408" s="14">
        <v>260000</v>
      </c>
      <c r="S2408" s="14">
        <v>332800</v>
      </c>
    </row>
    <row r="2409" spans="2:20" ht="12.75" hidden="1" customHeight="1" x14ac:dyDescent="0.25">
      <c r="B2409" s="100">
        <v>44141.125</v>
      </c>
      <c r="C2409" s="101" t="s">
        <v>2277</v>
      </c>
      <c r="D2409" s="34"/>
      <c r="E2409" s="37">
        <v>5200000</v>
      </c>
      <c r="F2409" s="37"/>
      <c r="G2409" s="37">
        <f t="shared" si="441"/>
        <v>5200000</v>
      </c>
      <c r="H2409" s="64"/>
      <c r="I2409" s="64">
        <v>12266.4</v>
      </c>
      <c r="J2409" s="64">
        <v>44505.55</v>
      </c>
      <c r="K2409" s="18">
        <f t="shared" si="442"/>
        <v>5143228.05</v>
      </c>
      <c r="L2409" s="19">
        <f t="shared" si="443"/>
        <v>10400001</v>
      </c>
      <c r="M2409" s="20"/>
      <c r="N2409" s="20"/>
      <c r="O2409" s="81"/>
      <c r="P2409" s="55">
        <v>7771093956</v>
      </c>
      <c r="Q2409" s="97">
        <v>44105</v>
      </c>
      <c r="R2409" s="14">
        <v>260000</v>
      </c>
      <c r="S2409" s="14">
        <v>332800</v>
      </c>
    </row>
    <row r="2410" spans="2:20" ht="12.75" hidden="1" customHeight="1" x14ac:dyDescent="0.25">
      <c r="B2410" s="100">
        <v>44168.125</v>
      </c>
      <c r="C2410" s="101" t="s">
        <v>2278</v>
      </c>
      <c r="D2410" s="34"/>
      <c r="E2410" s="37">
        <v>5200000</v>
      </c>
      <c r="F2410" s="37"/>
      <c r="G2410" s="37">
        <f t="shared" si="441"/>
        <v>5200000</v>
      </c>
      <c r="H2410" s="64"/>
      <c r="I2410" s="64">
        <v>12266.4</v>
      </c>
      <c r="J2410" s="64">
        <v>44505.55</v>
      </c>
      <c r="K2410" s="18">
        <f t="shared" si="442"/>
        <v>5143228.05</v>
      </c>
      <c r="L2410" s="19">
        <f t="shared" si="443"/>
        <v>5200001</v>
      </c>
      <c r="M2410" s="20"/>
      <c r="N2410" s="20"/>
      <c r="O2410" s="81"/>
      <c r="P2410" s="55">
        <v>7773378311</v>
      </c>
      <c r="Q2410" s="97">
        <v>44136</v>
      </c>
      <c r="R2410" s="14">
        <v>260000</v>
      </c>
      <c r="S2410" s="14">
        <v>332800</v>
      </c>
    </row>
    <row r="2411" spans="2:20" ht="12.75" hidden="1" customHeight="1" x14ac:dyDescent="0.25">
      <c r="B2411" s="100">
        <v>44188.125</v>
      </c>
      <c r="C2411" s="101" t="s">
        <v>2279</v>
      </c>
      <c r="D2411" s="34"/>
      <c r="E2411" s="37">
        <v>5200000</v>
      </c>
      <c r="F2411" s="37"/>
      <c r="G2411" s="37">
        <f t="shared" si="441"/>
        <v>5200000</v>
      </c>
      <c r="H2411" s="64"/>
      <c r="I2411" s="64">
        <v>12266.4</v>
      </c>
      <c r="J2411" s="64">
        <v>44505.55</v>
      </c>
      <c r="K2411" s="18">
        <f t="shared" si="442"/>
        <v>5143228.05</v>
      </c>
      <c r="L2411" s="19">
        <f t="shared" si="443"/>
        <v>1</v>
      </c>
      <c r="M2411" s="20"/>
      <c r="N2411" s="20"/>
      <c r="O2411" s="81"/>
      <c r="P2411" s="55">
        <v>7773402611</v>
      </c>
      <c r="Q2411" s="97">
        <v>44166</v>
      </c>
      <c r="R2411" s="14">
        <v>260000</v>
      </c>
      <c r="S2411" s="14">
        <v>332800</v>
      </c>
    </row>
    <row r="2412" spans="2:20" ht="12.75" hidden="1" customHeight="1" x14ac:dyDescent="0.25">
      <c r="B2412" s="100"/>
      <c r="C2412" s="101" t="s">
        <v>2047</v>
      </c>
      <c r="D2412" s="34"/>
      <c r="E2412" s="37">
        <v>1</v>
      </c>
      <c r="F2412" s="37"/>
      <c r="G2412" s="37">
        <f t="shared" si="441"/>
        <v>1</v>
      </c>
      <c r="H2412" s="64"/>
      <c r="I2412" s="64"/>
      <c r="J2412" s="64"/>
      <c r="K2412" s="18">
        <f t="shared" si="442"/>
        <v>1</v>
      </c>
      <c r="L2412" s="19">
        <f t="shared" si="443"/>
        <v>0</v>
      </c>
      <c r="M2412" s="20"/>
      <c r="N2412" s="20"/>
      <c r="O2412" s="81"/>
    </row>
    <row r="2413" spans="2:20" ht="15" hidden="1" x14ac:dyDescent="0.25">
      <c r="B2413" s="9" t="s">
        <v>2280</v>
      </c>
      <c r="C2413" s="10"/>
      <c r="D2413" s="11">
        <v>55666667</v>
      </c>
      <c r="E2413" s="11">
        <f>+D2413</f>
        <v>55666667</v>
      </c>
      <c r="F2413" s="11"/>
      <c r="G2413" s="11"/>
      <c r="H2413" s="11"/>
      <c r="I2413" s="11"/>
      <c r="J2413" s="11"/>
      <c r="K2413" s="11"/>
      <c r="L2413" s="11">
        <f>+D2413</f>
        <v>55666667</v>
      </c>
      <c r="M2413" s="12"/>
      <c r="N2413" s="12"/>
      <c r="P2413" s="55"/>
      <c r="Q2413" s="55"/>
      <c r="R2413" s="14"/>
      <c r="S2413" s="14"/>
    </row>
    <row r="2414" spans="2:20" ht="12.75" hidden="1" customHeight="1" x14ac:dyDescent="0.25">
      <c r="B2414" s="100">
        <v>43889.125</v>
      </c>
      <c r="C2414" s="101" t="s">
        <v>2281</v>
      </c>
      <c r="D2414" s="34"/>
      <c r="E2414" s="37">
        <v>666667</v>
      </c>
      <c r="F2414" s="37"/>
      <c r="G2414" s="37">
        <f t="shared" ref="G2414:G2425" si="444">+E2414</f>
        <v>666667</v>
      </c>
      <c r="H2414" s="64"/>
      <c r="I2414" s="64"/>
      <c r="J2414" s="64">
        <v>5705.84</v>
      </c>
      <c r="K2414" s="18">
        <f t="shared" ref="K2414:K2425" si="445">+G2414-H2414-I2414-J2414</f>
        <v>660961.16</v>
      </c>
      <c r="L2414" s="19">
        <f t="shared" ref="L2414:L2425" si="446">+L2413-G2414</f>
        <v>55000000</v>
      </c>
      <c r="M2414" s="20"/>
      <c r="N2414" s="20"/>
      <c r="O2414" s="81">
        <f>+L2425-'[1]ANEXO 7 - PPTO VIG 2020'!T43</f>
        <v>0</v>
      </c>
      <c r="P2414" s="55" t="s">
        <v>2282</v>
      </c>
      <c r="Q2414" s="97">
        <v>43831</v>
      </c>
      <c r="R2414" s="14">
        <f>109800+143800+5900</f>
        <v>259500</v>
      </c>
      <c r="S2414" s="14">
        <f>140500+184000+7500</f>
        <v>332000</v>
      </c>
      <c r="T2414" s="3">
        <f>+SUM(E2414:E2425)*40%</f>
        <v>22266666.800000001</v>
      </c>
    </row>
    <row r="2415" spans="2:20" ht="12.75" hidden="1" customHeight="1" x14ac:dyDescent="0.25">
      <c r="B2415" s="100">
        <v>43941.083333333336</v>
      </c>
      <c r="C2415" s="101" t="s">
        <v>2283</v>
      </c>
      <c r="D2415" s="34"/>
      <c r="E2415" s="37">
        <v>5000000</v>
      </c>
      <c r="F2415" s="37"/>
      <c r="G2415" s="37">
        <f t="shared" si="444"/>
        <v>5000000</v>
      </c>
      <c r="H2415" s="64"/>
      <c r="I2415" s="64"/>
      <c r="J2415" s="64">
        <v>42793.8</v>
      </c>
      <c r="K2415" s="18">
        <f t="shared" si="445"/>
        <v>4957206.2</v>
      </c>
      <c r="L2415" s="19">
        <f t="shared" si="446"/>
        <v>50000000</v>
      </c>
      <c r="M2415" s="20"/>
      <c r="N2415" s="20"/>
      <c r="O2415" s="81"/>
      <c r="P2415" s="55">
        <v>1028759303</v>
      </c>
      <c r="Q2415" s="97">
        <v>43862</v>
      </c>
      <c r="R2415" s="14">
        <f>250000+4700</f>
        <v>254700</v>
      </c>
      <c r="S2415" s="14">
        <f>320000+6100</f>
        <v>326100</v>
      </c>
      <c r="T2415" s="3">
        <f>+T2414*16%</f>
        <v>3562666.6880000001</v>
      </c>
    </row>
    <row r="2416" spans="2:20" ht="12.75" hidden="1" customHeight="1" x14ac:dyDescent="0.25">
      <c r="B2416" s="100">
        <v>43938.083333333336</v>
      </c>
      <c r="C2416" s="101" t="s">
        <v>2284</v>
      </c>
      <c r="D2416" s="34"/>
      <c r="E2416" s="37">
        <v>5000000</v>
      </c>
      <c r="F2416" s="37"/>
      <c r="G2416" s="37">
        <f t="shared" si="444"/>
        <v>5000000</v>
      </c>
      <c r="H2416" s="64"/>
      <c r="I2416" s="64"/>
      <c r="J2416" s="64">
        <v>42793.8</v>
      </c>
      <c r="K2416" s="18">
        <f t="shared" si="445"/>
        <v>4957206.2</v>
      </c>
      <c r="L2416" s="19">
        <f t="shared" si="446"/>
        <v>45000000</v>
      </c>
      <c r="M2416" s="20"/>
      <c r="N2416" s="20"/>
      <c r="O2416" s="81"/>
      <c r="P2416" s="55">
        <v>1029273421</v>
      </c>
      <c r="Q2416" s="97">
        <v>43891</v>
      </c>
      <c r="R2416" s="14">
        <v>250000</v>
      </c>
      <c r="S2416" s="14">
        <v>320000</v>
      </c>
      <c r="T2416" s="3">
        <f>+T2414*12.5%</f>
        <v>2783333.35</v>
      </c>
    </row>
    <row r="2417" spans="2:19" ht="12.75" hidden="1" customHeight="1" x14ac:dyDescent="0.25">
      <c r="B2417" s="100">
        <v>43973.083333333336</v>
      </c>
      <c r="C2417" s="101" t="s">
        <v>2285</v>
      </c>
      <c r="D2417" s="34"/>
      <c r="E2417" s="37">
        <v>5000000</v>
      </c>
      <c r="F2417" s="37"/>
      <c r="G2417" s="37">
        <f t="shared" si="444"/>
        <v>5000000</v>
      </c>
      <c r="H2417" s="64"/>
      <c r="I2417" s="64"/>
      <c r="J2417" s="64">
        <v>42793.8</v>
      </c>
      <c r="K2417" s="18">
        <f t="shared" si="445"/>
        <v>4957206.2</v>
      </c>
      <c r="L2417" s="19">
        <f t="shared" si="446"/>
        <v>40000000</v>
      </c>
      <c r="M2417" s="20"/>
      <c r="N2417" s="20"/>
      <c r="O2417" s="81"/>
      <c r="P2417" s="55">
        <v>1030146544</v>
      </c>
      <c r="Q2417" s="97">
        <v>43922</v>
      </c>
      <c r="R2417" s="14">
        <v>250000</v>
      </c>
      <c r="S2417" s="14">
        <v>320000</v>
      </c>
    </row>
    <row r="2418" spans="2:19" ht="12.75" hidden="1" customHeight="1" x14ac:dyDescent="0.25">
      <c r="B2418" s="100">
        <v>43994.083333333336</v>
      </c>
      <c r="C2418" s="101" t="s">
        <v>2286</v>
      </c>
      <c r="D2418" s="34"/>
      <c r="E2418" s="37">
        <v>5000000</v>
      </c>
      <c r="F2418" s="37"/>
      <c r="G2418" s="37">
        <f t="shared" si="444"/>
        <v>5000000</v>
      </c>
      <c r="H2418" s="64"/>
      <c r="I2418" s="64"/>
      <c r="J2418" s="64">
        <v>42793.8</v>
      </c>
      <c r="K2418" s="18">
        <f t="shared" si="445"/>
        <v>4957206.2</v>
      </c>
      <c r="L2418" s="19">
        <f t="shared" si="446"/>
        <v>35000000</v>
      </c>
      <c r="M2418" s="20"/>
      <c r="N2418" s="20"/>
      <c r="O2418" s="81"/>
      <c r="P2418" s="55">
        <v>1030146562</v>
      </c>
      <c r="Q2418" s="97">
        <v>43952</v>
      </c>
      <c r="R2418" s="14">
        <v>250000</v>
      </c>
      <c r="S2418" s="14">
        <v>320000</v>
      </c>
    </row>
    <row r="2419" spans="2:19" ht="12.75" hidden="1" customHeight="1" x14ac:dyDescent="0.25">
      <c r="B2419" s="100">
        <v>44020.083333333336</v>
      </c>
      <c r="C2419" s="101" t="s">
        <v>2287</v>
      </c>
      <c r="D2419" s="34"/>
      <c r="E2419" s="37">
        <v>5000000</v>
      </c>
      <c r="F2419" s="37"/>
      <c r="G2419" s="37">
        <f t="shared" si="444"/>
        <v>5000000</v>
      </c>
      <c r="H2419" s="64"/>
      <c r="I2419" s="64"/>
      <c r="J2419" s="64">
        <v>42793.8</v>
      </c>
      <c r="K2419" s="18">
        <f t="shared" si="445"/>
        <v>4957206.2</v>
      </c>
      <c r="L2419" s="19">
        <f t="shared" si="446"/>
        <v>30000000</v>
      </c>
      <c r="M2419" s="20"/>
      <c r="N2419" s="20"/>
      <c r="O2419" s="81"/>
      <c r="P2419" s="55">
        <v>1030573969</v>
      </c>
      <c r="Q2419" s="97">
        <v>43983</v>
      </c>
      <c r="R2419" s="14">
        <v>250000</v>
      </c>
      <c r="S2419" s="14">
        <v>320000</v>
      </c>
    </row>
    <row r="2420" spans="2:19" ht="12.75" hidden="1" customHeight="1" x14ac:dyDescent="0.25">
      <c r="B2420" s="100">
        <v>44056.083333333336</v>
      </c>
      <c r="C2420" s="101" t="s">
        <v>2288</v>
      </c>
      <c r="D2420" s="34"/>
      <c r="E2420" s="37">
        <v>5000000</v>
      </c>
      <c r="F2420" s="37"/>
      <c r="G2420" s="37">
        <f t="shared" si="444"/>
        <v>5000000</v>
      </c>
      <c r="H2420" s="64"/>
      <c r="I2420" s="64"/>
      <c r="J2420" s="64">
        <v>42793.8</v>
      </c>
      <c r="K2420" s="18">
        <f t="shared" si="445"/>
        <v>4957206.2</v>
      </c>
      <c r="L2420" s="19">
        <f t="shared" si="446"/>
        <v>25000000</v>
      </c>
      <c r="M2420" s="20"/>
      <c r="N2420" s="20"/>
      <c r="O2420" s="81"/>
      <c r="P2420" s="55">
        <v>1031188785</v>
      </c>
      <c r="Q2420" s="97">
        <v>44013</v>
      </c>
      <c r="R2420" s="14">
        <v>250000</v>
      </c>
      <c r="S2420" s="14">
        <v>320000</v>
      </c>
    </row>
    <row r="2421" spans="2:19" ht="12.75" hidden="1" customHeight="1" x14ac:dyDescent="0.25">
      <c r="B2421" s="100">
        <v>44082.083333333336</v>
      </c>
      <c r="C2421" s="101" t="s">
        <v>2289</v>
      </c>
      <c r="D2421" s="34"/>
      <c r="E2421" s="37">
        <v>5000000</v>
      </c>
      <c r="F2421" s="37"/>
      <c r="G2421" s="37">
        <f t="shared" si="444"/>
        <v>5000000</v>
      </c>
      <c r="H2421" s="64"/>
      <c r="I2421" s="64"/>
      <c r="J2421" s="64">
        <v>42793.8</v>
      </c>
      <c r="K2421" s="18">
        <f t="shared" si="445"/>
        <v>4957206.2</v>
      </c>
      <c r="L2421" s="19">
        <f t="shared" si="446"/>
        <v>20000000</v>
      </c>
      <c r="M2421" s="20"/>
      <c r="N2421" s="20"/>
      <c r="O2421" s="81"/>
      <c r="P2421" s="55">
        <v>1032013915</v>
      </c>
      <c r="Q2421" s="97">
        <v>44044</v>
      </c>
      <c r="R2421" s="14">
        <v>250000</v>
      </c>
      <c r="S2421" s="14">
        <v>320000</v>
      </c>
    </row>
    <row r="2422" spans="2:19" ht="12.75" hidden="1" customHeight="1" x14ac:dyDescent="0.25">
      <c r="B2422" s="100">
        <v>44112.083333333336</v>
      </c>
      <c r="C2422" s="101" t="s">
        <v>2290</v>
      </c>
      <c r="D2422" s="34"/>
      <c r="E2422" s="37">
        <v>5000000</v>
      </c>
      <c r="F2422" s="37"/>
      <c r="G2422" s="37">
        <f t="shared" si="444"/>
        <v>5000000</v>
      </c>
      <c r="H2422" s="64"/>
      <c r="I2422" s="64"/>
      <c r="J2422" s="64">
        <v>42793.8</v>
      </c>
      <c r="K2422" s="18">
        <f t="shared" si="445"/>
        <v>4957206.2</v>
      </c>
      <c r="L2422" s="19">
        <f t="shared" si="446"/>
        <v>15000000</v>
      </c>
      <c r="M2422" s="20"/>
      <c r="N2422" s="20"/>
      <c r="O2422" s="81"/>
      <c r="P2422" s="55">
        <v>1032634030</v>
      </c>
      <c r="Q2422" s="97">
        <v>44075</v>
      </c>
      <c r="R2422" s="14">
        <v>250000</v>
      </c>
      <c r="S2422" s="14">
        <v>320000</v>
      </c>
    </row>
    <row r="2423" spans="2:19" ht="12.75" hidden="1" customHeight="1" x14ac:dyDescent="0.25">
      <c r="B2423" s="100">
        <v>44153.125</v>
      </c>
      <c r="C2423" s="101" t="s">
        <v>2291</v>
      </c>
      <c r="D2423" s="34"/>
      <c r="E2423" s="37">
        <v>5000000</v>
      </c>
      <c r="F2423" s="37"/>
      <c r="G2423" s="37">
        <f t="shared" si="444"/>
        <v>5000000</v>
      </c>
      <c r="H2423" s="64"/>
      <c r="I2423" s="64"/>
      <c r="J2423" s="64">
        <v>42793.8</v>
      </c>
      <c r="K2423" s="18">
        <f t="shared" si="445"/>
        <v>4957206.2</v>
      </c>
      <c r="L2423" s="19">
        <f t="shared" si="446"/>
        <v>10000000</v>
      </c>
      <c r="M2423" s="20"/>
      <c r="N2423" s="20"/>
      <c r="O2423" s="81"/>
      <c r="P2423" s="55">
        <v>1033090806</v>
      </c>
      <c r="Q2423" s="97">
        <v>44105</v>
      </c>
      <c r="R2423" s="14">
        <v>250000</v>
      </c>
      <c r="S2423" s="14">
        <v>320000</v>
      </c>
    </row>
    <row r="2424" spans="2:19" ht="12.75" hidden="1" customHeight="1" x14ac:dyDescent="0.25">
      <c r="B2424" s="100">
        <v>44179.125</v>
      </c>
      <c r="C2424" s="101" t="s">
        <v>2292</v>
      </c>
      <c r="D2424" s="34"/>
      <c r="E2424" s="37">
        <v>5000000</v>
      </c>
      <c r="F2424" s="37"/>
      <c r="G2424" s="37">
        <f t="shared" si="444"/>
        <v>5000000</v>
      </c>
      <c r="H2424" s="64"/>
      <c r="I2424" s="64"/>
      <c r="J2424" s="64">
        <v>42793.8</v>
      </c>
      <c r="K2424" s="18">
        <f t="shared" si="445"/>
        <v>4957206.2</v>
      </c>
      <c r="L2424" s="19">
        <f t="shared" si="446"/>
        <v>5000000</v>
      </c>
      <c r="M2424" s="20"/>
      <c r="N2424" s="20"/>
      <c r="O2424" s="81"/>
      <c r="P2424" s="55">
        <v>1034390146</v>
      </c>
      <c r="Q2424" s="97">
        <v>44136</v>
      </c>
      <c r="R2424" s="14">
        <v>250000</v>
      </c>
      <c r="S2424" s="14">
        <v>320000</v>
      </c>
    </row>
    <row r="2425" spans="2:19" ht="12.75" hidden="1" customHeight="1" x14ac:dyDescent="0.25">
      <c r="B2425" s="100">
        <v>44200.125</v>
      </c>
      <c r="C2425" s="101" t="s">
        <v>2293</v>
      </c>
      <c r="D2425" s="34"/>
      <c r="E2425" s="37">
        <v>5000000</v>
      </c>
      <c r="F2425" s="37"/>
      <c r="G2425" s="37">
        <f t="shared" si="444"/>
        <v>5000000</v>
      </c>
      <c r="H2425" s="64"/>
      <c r="I2425" s="64"/>
      <c r="J2425" s="64">
        <v>42793.8</v>
      </c>
      <c r="K2425" s="18">
        <f t="shared" si="445"/>
        <v>4957206.2</v>
      </c>
      <c r="L2425" s="19">
        <f t="shared" si="446"/>
        <v>0</v>
      </c>
      <c r="M2425" s="20"/>
      <c r="N2425" s="20"/>
      <c r="O2425" s="81"/>
      <c r="P2425" s="55">
        <v>1034390182</v>
      </c>
      <c r="Q2425" s="97">
        <v>44166</v>
      </c>
      <c r="R2425" s="14">
        <v>250000</v>
      </c>
      <c r="S2425" s="14">
        <v>320000</v>
      </c>
    </row>
    <row r="2426" spans="2:19" ht="15" hidden="1" x14ac:dyDescent="0.25">
      <c r="B2426" s="9" t="s">
        <v>2294</v>
      </c>
      <c r="C2426" s="10"/>
      <c r="D2426" s="11">
        <v>56500000</v>
      </c>
      <c r="E2426" s="11">
        <f>+D2426</f>
        <v>56500000</v>
      </c>
      <c r="F2426" s="11"/>
      <c r="G2426" s="11"/>
      <c r="H2426" s="11"/>
      <c r="I2426" s="11"/>
      <c r="J2426" s="11"/>
      <c r="K2426" s="11"/>
      <c r="L2426" s="11">
        <f>+D2426</f>
        <v>56500000</v>
      </c>
      <c r="M2426" s="12"/>
      <c r="N2426" s="12"/>
      <c r="P2426" s="55"/>
      <c r="Q2426" s="55"/>
      <c r="R2426" s="14"/>
      <c r="S2426" s="14"/>
    </row>
    <row r="2427" spans="2:19" ht="12.75" hidden="1" customHeight="1" x14ac:dyDescent="0.25">
      <c r="B2427" s="100">
        <v>43879.125</v>
      </c>
      <c r="C2427" s="101" t="s">
        <v>2295</v>
      </c>
      <c r="D2427" s="34"/>
      <c r="E2427" s="37">
        <v>666666</v>
      </c>
      <c r="F2427" s="37"/>
      <c r="G2427" s="37">
        <f t="shared" ref="G2427:G2439" si="447">+E2427</f>
        <v>666666</v>
      </c>
      <c r="H2427" s="64"/>
      <c r="I2427" s="64"/>
      <c r="J2427" s="64">
        <v>5705.83</v>
      </c>
      <c r="K2427" s="18">
        <f t="shared" ref="K2427:K2439" si="448">+G2427-H2427-I2427-J2427</f>
        <v>660960.17000000004</v>
      </c>
      <c r="L2427" s="19">
        <f t="shared" ref="L2427:L2439" si="449">+L2426-G2427</f>
        <v>55833334</v>
      </c>
      <c r="M2427" s="20"/>
      <c r="N2427" s="20"/>
      <c r="O2427" s="81">
        <f>+L2439-'[1]ANEXO 7 - PPTO VIG 2020'!T42</f>
        <v>0</v>
      </c>
      <c r="P2427" s="55">
        <v>9402793256</v>
      </c>
      <c r="Q2427" s="97">
        <v>43831</v>
      </c>
      <c r="R2427" s="14">
        <v>25100</v>
      </c>
      <c r="S2427" s="14">
        <v>32200</v>
      </c>
    </row>
    <row r="2428" spans="2:19" ht="15" hidden="1" x14ac:dyDescent="0.25">
      <c r="B2428" s="100">
        <v>43902.083333333336</v>
      </c>
      <c r="C2428" s="112" t="s">
        <v>2296</v>
      </c>
      <c r="D2428" s="34"/>
      <c r="E2428" s="37">
        <v>5000000</v>
      </c>
      <c r="F2428" s="37"/>
      <c r="G2428" s="37">
        <f t="shared" si="447"/>
        <v>5000000</v>
      </c>
      <c r="H2428" s="64"/>
      <c r="I2428" s="64"/>
      <c r="J2428" s="64">
        <v>42793.8</v>
      </c>
      <c r="K2428" s="18">
        <f t="shared" si="448"/>
        <v>4957206.2</v>
      </c>
      <c r="L2428" s="19">
        <f t="shared" si="449"/>
        <v>50833334</v>
      </c>
      <c r="M2428" s="20"/>
      <c r="N2428" s="20"/>
      <c r="O2428" s="81"/>
      <c r="P2428" s="55">
        <v>9402793264</v>
      </c>
      <c r="Q2428" s="97">
        <v>43862</v>
      </c>
      <c r="R2428" s="14">
        <v>250000</v>
      </c>
      <c r="S2428" s="14">
        <v>320000</v>
      </c>
    </row>
    <row r="2429" spans="2:19" ht="15" hidden="1" x14ac:dyDescent="0.25">
      <c r="B2429" s="100">
        <v>43929.083333333336</v>
      </c>
      <c r="C2429" s="112" t="s">
        <v>2297</v>
      </c>
      <c r="D2429" s="34"/>
      <c r="E2429" s="37">
        <v>5000000</v>
      </c>
      <c r="F2429" s="37"/>
      <c r="G2429" s="37">
        <f t="shared" si="447"/>
        <v>5000000</v>
      </c>
      <c r="H2429" s="64"/>
      <c r="I2429" s="64"/>
      <c r="J2429" s="64">
        <v>48300</v>
      </c>
      <c r="K2429" s="18">
        <f t="shared" si="448"/>
        <v>4951700</v>
      </c>
      <c r="L2429" s="19">
        <f t="shared" si="449"/>
        <v>45833334</v>
      </c>
      <c r="M2429" s="20"/>
      <c r="N2429" s="20"/>
      <c r="O2429" s="81"/>
      <c r="P2429" s="55">
        <v>9403715490</v>
      </c>
      <c r="Q2429" s="97">
        <v>43891</v>
      </c>
      <c r="R2429" s="14">
        <v>250000</v>
      </c>
      <c r="S2429" s="14">
        <v>320000</v>
      </c>
    </row>
    <row r="2430" spans="2:19" ht="15" hidden="1" x14ac:dyDescent="0.25">
      <c r="B2430" s="100">
        <v>43958.083333333336</v>
      </c>
      <c r="C2430" s="112" t="s">
        <v>2298</v>
      </c>
      <c r="D2430" s="34"/>
      <c r="E2430" s="37">
        <v>5000000</v>
      </c>
      <c r="F2430" s="37"/>
      <c r="G2430" s="37">
        <f t="shared" si="447"/>
        <v>5000000</v>
      </c>
      <c r="H2430" s="64"/>
      <c r="I2430" s="64"/>
      <c r="J2430" s="64">
        <v>42793.8</v>
      </c>
      <c r="K2430" s="18">
        <f t="shared" si="448"/>
        <v>4957206.2</v>
      </c>
      <c r="L2430" s="19">
        <f t="shared" si="449"/>
        <v>40833334</v>
      </c>
      <c r="M2430" s="20"/>
      <c r="N2430" s="20"/>
      <c r="O2430" s="81"/>
      <c r="P2430" s="55">
        <v>9405858685</v>
      </c>
      <c r="Q2430" s="97">
        <v>43922</v>
      </c>
      <c r="R2430" s="14">
        <v>250000</v>
      </c>
      <c r="S2430" s="14">
        <v>60000</v>
      </c>
    </row>
    <row r="2431" spans="2:19" ht="15" hidden="1" x14ac:dyDescent="0.25">
      <c r="B2431" s="100">
        <v>43987.083333333336</v>
      </c>
      <c r="C2431" s="112" t="s">
        <v>2299</v>
      </c>
      <c r="D2431" s="34"/>
      <c r="E2431" s="37">
        <v>5000000</v>
      </c>
      <c r="F2431" s="37"/>
      <c r="G2431" s="37">
        <f t="shared" si="447"/>
        <v>5000000</v>
      </c>
      <c r="H2431" s="64"/>
      <c r="I2431" s="64"/>
      <c r="J2431" s="64">
        <v>45305.4</v>
      </c>
      <c r="K2431" s="18">
        <f t="shared" si="448"/>
        <v>4954694.5999999996</v>
      </c>
      <c r="L2431" s="19">
        <f t="shared" si="449"/>
        <v>35833334</v>
      </c>
      <c r="M2431" s="20"/>
      <c r="N2431" s="20"/>
      <c r="O2431" s="81"/>
      <c r="P2431" s="55">
        <v>9406940903</v>
      </c>
      <c r="Q2431" s="97">
        <v>43952</v>
      </c>
      <c r="R2431" s="14">
        <v>250000</v>
      </c>
      <c r="S2431" s="14">
        <v>60000</v>
      </c>
    </row>
    <row r="2432" spans="2:19" ht="15" hidden="1" x14ac:dyDescent="0.25">
      <c r="B2432" s="100">
        <v>44025.083333333336</v>
      </c>
      <c r="C2432" s="112" t="s">
        <v>2300</v>
      </c>
      <c r="D2432" s="34"/>
      <c r="E2432" s="37">
        <v>5000000</v>
      </c>
      <c r="F2432" s="37"/>
      <c r="G2432" s="37">
        <f t="shared" si="447"/>
        <v>5000000</v>
      </c>
      <c r="H2432" s="64"/>
      <c r="I2432" s="64"/>
      <c r="J2432" s="64">
        <v>45305.4</v>
      </c>
      <c r="K2432" s="18">
        <f t="shared" si="448"/>
        <v>4954694.5999999996</v>
      </c>
      <c r="L2432" s="19">
        <f t="shared" si="449"/>
        <v>30833334</v>
      </c>
      <c r="M2432" s="20"/>
      <c r="N2432" s="20"/>
      <c r="O2432" s="81"/>
      <c r="P2432" s="55">
        <v>9408054671</v>
      </c>
      <c r="Q2432" s="97">
        <v>43983</v>
      </c>
      <c r="R2432" s="14">
        <v>250000</v>
      </c>
      <c r="S2432" s="14">
        <v>320000</v>
      </c>
    </row>
    <row r="2433" spans="2:19" ht="15" hidden="1" x14ac:dyDescent="0.25">
      <c r="B2433" s="100">
        <v>44054.083333333336</v>
      </c>
      <c r="C2433" s="112" t="s">
        <v>2301</v>
      </c>
      <c r="D2433" s="34"/>
      <c r="E2433" s="37">
        <v>5000000</v>
      </c>
      <c r="F2433" s="37"/>
      <c r="G2433" s="37">
        <f t="shared" si="447"/>
        <v>5000000</v>
      </c>
      <c r="H2433" s="64"/>
      <c r="I2433" s="64"/>
      <c r="J2433" s="64">
        <v>42793.8</v>
      </c>
      <c r="K2433" s="18">
        <f t="shared" si="448"/>
        <v>4957206.2</v>
      </c>
      <c r="L2433" s="19">
        <f t="shared" si="449"/>
        <v>25833334</v>
      </c>
      <c r="M2433" s="20"/>
      <c r="N2433" s="20"/>
      <c r="O2433" s="81"/>
      <c r="P2433" s="55">
        <v>9409052520</v>
      </c>
      <c r="Q2433" s="97">
        <v>44013</v>
      </c>
      <c r="R2433" s="14">
        <v>250000</v>
      </c>
      <c r="S2433" s="14">
        <v>320000</v>
      </c>
    </row>
    <row r="2434" spans="2:19" ht="15" hidden="1" x14ac:dyDescent="0.25">
      <c r="B2434" s="100">
        <v>44076.083333333336</v>
      </c>
      <c r="C2434" s="112" t="s">
        <v>2302</v>
      </c>
      <c r="D2434" s="34"/>
      <c r="E2434" s="37">
        <v>5000000</v>
      </c>
      <c r="F2434" s="37"/>
      <c r="G2434" s="37">
        <f t="shared" si="447"/>
        <v>5000000</v>
      </c>
      <c r="H2434" s="64"/>
      <c r="I2434" s="64"/>
      <c r="J2434" s="64">
        <v>42793.8</v>
      </c>
      <c r="K2434" s="18">
        <f t="shared" si="448"/>
        <v>4957206.2</v>
      </c>
      <c r="L2434" s="19">
        <f t="shared" si="449"/>
        <v>20833334</v>
      </c>
      <c r="M2434" s="20"/>
      <c r="N2434" s="20"/>
      <c r="O2434" s="81"/>
      <c r="P2434" s="55">
        <v>9410085787</v>
      </c>
      <c r="Q2434" s="97">
        <v>44044</v>
      </c>
      <c r="R2434" s="14">
        <v>250000</v>
      </c>
      <c r="S2434" s="14">
        <v>320000</v>
      </c>
    </row>
    <row r="2435" spans="2:19" ht="15" hidden="1" x14ac:dyDescent="0.25">
      <c r="B2435" s="100">
        <v>44109.083333333336</v>
      </c>
      <c r="C2435" s="112" t="s">
        <v>2303</v>
      </c>
      <c r="D2435" s="34"/>
      <c r="E2435" s="37">
        <v>5000000</v>
      </c>
      <c r="F2435" s="37"/>
      <c r="G2435" s="37">
        <f t="shared" si="447"/>
        <v>5000000</v>
      </c>
      <c r="H2435" s="64"/>
      <c r="I2435" s="64"/>
      <c r="J2435" s="64">
        <v>42793.8</v>
      </c>
      <c r="K2435" s="18">
        <f t="shared" si="448"/>
        <v>4957206.2</v>
      </c>
      <c r="L2435" s="19">
        <f t="shared" si="449"/>
        <v>15833334</v>
      </c>
      <c r="M2435" s="20"/>
      <c r="N2435" s="20"/>
      <c r="O2435" s="81"/>
      <c r="P2435" s="55">
        <v>9411175977</v>
      </c>
      <c r="Q2435" s="97">
        <v>44075</v>
      </c>
      <c r="R2435" s="14">
        <v>250000</v>
      </c>
      <c r="S2435" s="14">
        <v>320000</v>
      </c>
    </row>
    <row r="2436" spans="2:19" ht="15" hidden="1" x14ac:dyDescent="0.25">
      <c r="B2436" s="100">
        <v>44141.125</v>
      </c>
      <c r="C2436" s="112" t="s">
        <v>2304</v>
      </c>
      <c r="D2436" s="34"/>
      <c r="E2436" s="37">
        <v>5000000</v>
      </c>
      <c r="F2436" s="37"/>
      <c r="G2436" s="37">
        <f t="shared" si="447"/>
        <v>5000000</v>
      </c>
      <c r="H2436" s="64"/>
      <c r="I2436" s="64"/>
      <c r="J2436" s="64">
        <v>42793.8</v>
      </c>
      <c r="K2436" s="18">
        <f t="shared" si="448"/>
        <v>4957206.2</v>
      </c>
      <c r="L2436" s="19">
        <f t="shared" si="449"/>
        <v>10833334</v>
      </c>
      <c r="M2436" s="20"/>
      <c r="N2436" s="20"/>
      <c r="O2436" s="81"/>
      <c r="P2436" s="55">
        <v>9412298456</v>
      </c>
      <c r="Q2436" s="97">
        <v>44105</v>
      </c>
      <c r="R2436" s="14">
        <v>250000</v>
      </c>
      <c r="S2436" s="14">
        <v>320000</v>
      </c>
    </row>
    <row r="2437" spans="2:19" ht="15" hidden="1" x14ac:dyDescent="0.25">
      <c r="B2437" s="100">
        <v>44168.125</v>
      </c>
      <c r="C2437" s="112" t="s">
        <v>2305</v>
      </c>
      <c r="D2437" s="34"/>
      <c r="E2437" s="37">
        <v>5000000</v>
      </c>
      <c r="F2437" s="37"/>
      <c r="G2437" s="37">
        <f t="shared" si="447"/>
        <v>5000000</v>
      </c>
      <c r="H2437" s="64"/>
      <c r="I2437" s="64"/>
      <c r="J2437" s="64">
        <v>42793.8</v>
      </c>
      <c r="K2437" s="18">
        <f t="shared" si="448"/>
        <v>4957206.2</v>
      </c>
      <c r="L2437" s="19">
        <f t="shared" si="449"/>
        <v>5833334</v>
      </c>
      <c r="M2437" s="20"/>
      <c r="N2437" s="20"/>
      <c r="O2437" s="81"/>
      <c r="P2437" s="55">
        <v>9413411619</v>
      </c>
      <c r="Q2437" s="97">
        <v>44136</v>
      </c>
      <c r="R2437" s="14">
        <v>250000</v>
      </c>
      <c r="S2437" s="14">
        <v>320000</v>
      </c>
    </row>
    <row r="2438" spans="2:19" ht="15" hidden="1" x14ac:dyDescent="0.25">
      <c r="B2438" s="100">
        <v>44189.125</v>
      </c>
      <c r="C2438" s="112" t="s">
        <v>2306</v>
      </c>
      <c r="D2438" s="34"/>
      <c r="E2438" s="37">
        <v>5000000</v>
      </c>
      <c r="F2438" s="37"/>
      <c r="G2438" s="37">
        <f t="shared" si="447"/>
        <v>5000000</v>
      </c>
      <c r="H2438" s="64"/>
      <c r="I2438" s="64"/>
      <c r="J2438" s="64">
        <v>42793.8</v>
      </c>
      <c r="K2438" s="18">
        <f t="shared" si="448"/>
        <v>4957206.2</v>
      </c>
      <c r="L2438" s="19">
        <f t="shared" si="449"/>
        <v>833334</v>
      </c>
      <c r="M2438" s="20"/>
      <c r="N2438" s="20"/>
      <c r="O2438" s="81"/>
      <c r="P2438" s="55">
        <v>9413712764</v>
      </c>
      <c r="Q2438" s="97">
        <v>44166</v>
      </c>
      <c r="R2438" s="14">
        <v>250000</v>
      </c>
      <c r="S2438" s="14">
        <v>320000</v>
      </c>
    </row>
    <row r="2439" spans="2:19" ht="15" hidden="1" x14ac:dyDescent="0.25">
      <c r="B2439" s="100"/>
      <c r="C2439" s="112" t="s">
        <v>2047</v>
      </c>
      <c r="D2439" s="34"/>
      <c r="E2439" s="37">
        <v>833334</v>
      </c>
      <c r="F2439" s="37"/>
      <c r="G2439" s="37">
        <f t="shared" si="447"/>
        <v>833334</v>
      </c>
      <c r="H2439" s="64"/>
      <c r="I2439" s="64"/>
      <c r="J2439" s="64"/>
      <c r="K2439" s="18">
        <f t="shared" si="448"/>
        <v>833334</v>
      </c>
      <c r="L2439" s="19">
        <f t="shared" si="449"/>
        <v>0</v>
      </c>
      <c r="M2439" s="20"/>
      <c r="N2439" s="20"/>
      <c r="O2439" s="81"/>
      <c r="P2439" s="55"/>
      <c r="Q2439" s="97"/>
      <c r="R2439" s="14"/>
      <c r="S2439" s="14"/>
    </row>
    <row r="2440" spans="2:19" ht="15" hidden="1" x14ac:dyDescent="0.25">
      <c r="B2440" s="9" t="s">
        <v>2307</v>
      </c>
      <c r="C2440" s="10"/>
      <c r="D2440" s="11">
        <v>82150000</v>
      </c>
      <c r="E2440" s="11">
        <f>+D2440</f>
        <v>82150000</v>
      </c>
      <c r="F2440" s="11"/>
      <c r="G2440" s="11"/>
      <c r="H2440" s="11"/>
      <c r="I2440" s="11"/>
      <c r="J2440" s="11"/>
      <c r="K2440" s="11"/>
      <c r="L2440" s="11">
        <f>+D2440</f>
        <v>82150000</v>
      </c>
      <c r="M2440" s="12"/>
      <c r="N2440" s="12"/>
      <c r="P2440" s="55"/>
      <c r="Q2440" s="55"/>
      <c r="R2440" s="14"/>
      <c r="S2440" s="14"/>
    </row>
    <row r="2441" spans="2:19" ht="12.75" hidden="1" customHeight="1" x14ac:dyDescent="0.25">
      <c r="B2441" s="89">
        <v>43889.125</v>
      </c>
      <c r="C2441" s="90" t="s">
        <v>2308</v>
      </c>
      <c r="D2441" s="34"/>
      <c r="E2441" s="37">
        <v>433333</v>
      </c>
      <c r="F2441" s="37"/>
      <c r="G2441" s="37">
        <f t="shared" ref="G2441:G2453" si="450">+E2441</f>
        <v>433333</v>
      </c>
      <c r="H2441" s="64"/>
      <c r="I2441" s="64"/>
      <c r="J2441" s="64">
        <v>3708.79</v>
      </c>
      <c r="K2441" s="18">
        <f t="shared" ref="K2441:K2453" si="451">+G2441-H2441-I2441-J2441</f>
        <v>429624.21</v>
      </c>
      <c r="L2441" s="19">
        <f t="shared" ref="L2441:L2453" si="452">+L2440-G2441</f>
        <v>81716667</v>
      </c>
      <c r="M2441" s="20"/>
      <c r="N2441" s="20"/>
      <c r="O2441" s="81">
        <f>+L2453-'[1]ANEXO 7 - PPTO VIG 2020'!T44</f>
        <v>0</v>
      </c>
      <c r="P2441" s="55">
        <v>9402955789</v>
      </c>
      <c r="Q2441" s="97">
        <v>43831</v>
      </c>
      <c r="R2441" s="14">
        <v>111000</v>
      </c>
      <c r="S2441" s="14">
        <v>142100</v>
      </c>
    </row>
    <row r="2442" spans="2:19" ht="12.75" hidden="1" customHeight="1" x14ac:dyDescent="0.25">
      <c r="B2442" s="89">
        <v>43910.083333333336</v>
      </c>
      <c r="C2442" s="90" t="s">
        <v>2309</v>
      </c>
      <c r="D2442" s="34"/>
      <c r="E2442" s="37">
        <v>6500000</v>
      </c>
      <c r="F2442" s="37"/>
      <c r="G2442" s="37">
        <f t="shared" si="450"/>
        <v>6500000</v>
      </c>
      <c r="H2442" s="64"/>
      <c r="I2442" s="64">
        <v>176013.16</v>
      </c>
      <c r="J2442" s="64">
        <v>55631.94</v>
      </c>
      <c r="K2442" s="18">
        <f t="shared" si="451"/>
        <v>6268354.8999999994</v>
      </c>
      <c r="L2442" s="19">
        <f t="shared" si="452"/>
        <v>75216667</v>
      </c>
      <c r="M2442" s="20"/>
      <c r="N2442" s="20"/>
      <c r="O2442" s="81"/>
      <c r="P2442" s="55">
        <v>9403444972</v>
      </c>
      <c r="Q2442" s="97">
        <v>43862</v>
      </c>
      <c r="R2442" s="14">
        <v>325000</v>
      </c>
      <c r="S2442" s="14">
        <v>416000</v>
      </c>
    </row>
    <row r="2443" spans="2:19" ht="12.75" hidden="1" customHeight="1" x14ac:dyDescent="0.25">
      <c r="B2443" s="89">
        <v>43941.083333333336</v>
      </c>
      <c r="C2443" s="90" t="s">
        <v>2213</v>
      </c>
      <c r="D2443" s="34"/>
      <c r="E2443" s="37">
        <v>6500000</v>
      </c>
      <c r="F2443" s="37"/>
      <c r="G2443" s="37">
        <f t="shared" si="450"/>
        <v>6500000</v>
      </c>
      <c r="H2443" s="64"/>
      <c r="I2443" s="64">
        <v>176013.16</v>
      </c>
      <c r="J2443" s="64">
        <v>55631.94</v>
      </c>
      <c r="K2443" s="18">
        <f t="shared" si="451"/>
        <v>6268354.8999999994</v>
      </c>
      <c r="L2443" s="19">
        <f t="shared" si="452"/>
        <v>68716667</v>
      </c>
      <c r="M2443" s="20"/>
      <c r="N2443" s="20"/>
      <c r="O2443" s="81"/>
      <c r="P2443" s="55">
        <v>9404119187</v>
      </c>
      <c r="Q2443" s="97">
        <v>43891</v>
      </c>
      <c r="R2443" s="14">
        <v>325000</v>
      </c>
      <c r="S2443" s="14">
        <v>416000</v>
      </c>
    </row>
    <row r="2444" spans="2:19" ht="12.75" hidden="1" customHeight="1" x14ac:dyDescent="0.25">
      <c r="B2444" s="89">
        <v>43962.083333333336</v>
      </c>
      <c r="C2444" s="90" t="s">
        <v>2310</v>
      </c>
      <c r="D2444" s="34"/>
      <c r="E2444" s="37">
        <v>6500000</v>
      </c>
      <c r="F2444" s="37"/>
      <c r="G2444" s="37">
        <f t="shared" si="450"/>
        <v>6500000</v>
      </c>
      <c r="H2444" s="64"/>
      <c r="I2444" s="64">
        <v>176013.16</v>
      </c>
      <c r="J2444" s="64">
        <v>55631.94</v>
      </c>
      <c r="K2444" s="18">
        <f t="shared" si="451"/>
        <v>6268354.8999999994</v>
      </c>
      <c r="L2444" s="19">
        <f t="shared" si="452"/>
        <v>62216667</v>
      </c>
      <c r="M2444" s="20"/>
      <c r="N2444" s="20"/>
      <c r="O2444" s="81"/>
      <c r="P2444" s="55"/>
      <c r="Q2444" s="97">
        <v>43922</v>
      </c>
      <c r="R2444" s="14">
        <v>325000</v>
      </c>
      <c r="S2444" s="14">
        <v>416000</v>
      </c>
    </row>
    <row r="2445" spans="2:19" ht="12.75" hidden="1" customHeight="1" x14ac:dyDescent="0.25">
      <c r="B2445" s="89">
        <v>43998.083333333336</v>
      </c>
      <c r="C2445" s="90" t="s">
        <v>2311</v>
      </c>
      <c r="D2445" s="34"/>
      <c r="E2445" s="37">
        <v>6500000</v>
      </c>
      <c r="F2445" s="37"/>
      <c r="G2445" s="37">
        <f t="shared" si="450"/>
        <v>6500000</v>
      </c>
      <c r="H2445" s="64"/>
      <c r="I2445" s="64">
        <v>176013.16</v>
      </c>
      <c r="J2445" s="64">
        <v>55631.94</v>
      </c>
      <c r="K2445" s="18">
        <f t="shared" si="451"/>
        <v>6268354.8999999994</v>
      </c>
      <c r="L2445" s="19">
        <f t="shared" si="452"/>
        <v>55716667</v>
      </c>
      <c r="M2445" s="20"/>
      <c r="N2445" s="20"/>
      <c r="O2445" s="81"/>
      <c r="P2445" s="55"/>
      <c r="Q2445" s="97">
        <v>43952</v>
      </c>
      <c r="R2445" s="14">
        <v>325000</v>
      </c>
      <c r="S2445" s="14">
        <v>416000</v>
      </c>
    </row>
    <row r="2446" spans="2:19" ht="12.75" hidden="1" customHeight="1" x14ac:dyDescent="0.25">
      <c r="B2446" s="89">
        <v>44025.083333333336</v>
      </c>
      <c r="C2446" s="90" t="s">
        <v>2312</v>
      </c>
      <c r="D2446" s="34"/>
      <c r="E2446" s="37">
        <v>6500000</v>
      </c>
      <c r="F2446" s="37"/>
      <c r="G2446" s="37">
        <f t="shared" si="450"/>
        <v>6500000</v>
      </c>
      <c r="H2446" s="64"/>
      <c r="I2446" s="64">
        <v>176013.16</v>
      </c>
      <c r="J2446" s="64">
        <v>55631.94</v>
      </c>
      <c r="K2446" s="18">
        <f t="shared" si="451"/>
        <v>6268354.8999999994</v>
      </c>
      <c r="L2446" s="19">
        <f t="shared" si="452"/>
        <v>49216667</v>
      </c>
      <c r="M2446" s="20"/>
      <c r="N2446" s="20"/>
      <c r="O2446" s="81"/>
      <c r="P2446" s="55">
        <v>9407773413</v>
      </c>
      <c r="Q2446" s="97">
        <v>43983</v>
      </c>
      <c r="R2446" s="14">
        <v>325000</v>
      </c>
      <c r="S2446" s="14">
        <v>416000</v>
      </c>
    </row>
    <row r="2447" spans="2:19" ht="12.75" hidden="1" customHeight="1" x14ac:dyDescent="0.25">
      <c r="B2447" s="89">
        <v>44056.083333333336</v>
      </c>
      <c r="C2447" s="90" t="s">
        <v>2313</v>
      </c>
      <c r="D2447" s="34"/>
      <c r="E2447" s="37">
        <v>6500000</v>
      </c>
      <c r="F2447" s="37"/>
      <c r="G2447" s="37">
        <f t="shared" si="450"/>
        <v>6500000</v>
      </c>
      <c r="H2447" s="64"/>
      <c r="I2447" s="64">
        <v>176013.16</v>
      </c>
      <c r="J2447" s="64">
        <v>55631.94</v>
      </c>
      <c r="K2447" s="18">
        <f t="shared" si="451"/>
        <v>6268354.8999999994</v>
      </c>
      <c r="L2447" s="19">
        <f t="shared" si="452"/>
        <v>42716667</v>
      </c>
      <c r="M2447" s="20"/>
      <c r="N2447" s="20"/>
      <c r="O2447" s="81"/>
      <c r="P2447" s="55">
        <v>9408967275</v>
      </c>
      <c r="Q2447" s="97">
        <v>44013</v>
      </c>
      <c r="R2447" s="14">
        <v>325000</v>
      </c>
      <c r="S2447" s="14">
        <v>416000</v>
      </c>
    </row>
    <row r="2448" spans="2:19" ht="12.75" hidden="1" customHeight="1" x14ac:dyDescent="0.25">
      <c r="B2448" s="89">
        <v>44084.083333333336</v>
      </c>
      <c r="C2448" s="90" t="s">
        <v>2314</v>
      </c>
      <c r="D2448" s="34"/>
      <c r="E2448" s="37">
        <v>6500000</v>
      </c>
      <c r="F2448" s="37"/>
      <c r="G2448" s="37">
        <f t="shared" si="450"/>
        <v>6500000</v>
      </c>
      <c r="H2448" s="64"/>
      <c r="I2448" s="64">
        <v>176013.16</v>
      </c>
      <c r="J2448" s="64">
        <v>55631.94</v>
      </c>
      <c r="K2448" s="18">
        <f t="shared" si="451"/>
        <v>6268354.8999999994</v>
      </c>
      <c r="L2448" s="19">
        <f t="shared" si="452"/>
        <v>36216667</v>
      </c>
      <c r="M2448" s="20"/>
      <c r="N2448" s="20"/>
      <c r="O2448" s="81"/>
      <c r="P2448" s="55">
        <v>9410065315</v>
      </c>
      <c r="Q2448" s="97">
        <v>44044</v>
      </c>
      <c r="R2448" s="14">
        <v>325000</v>
      </c>
      <c r="S2448" s="14">
        <v>416000</v>
      </c>
    </row>
    <row r="2449" spans="2:19" ht="12.75" hidden="1" customHeight="1" x14ac:dyDescent="0.25">
      <c r="B2449" s="89">
        <v>44113.083333333336</v>
      </c>
      <c r="C2449" s="90" t="s">
        <v>2315</v>
      </c>
      <c r="D2449" s="34"/>
      <c r="E2449" s="37">
        <v>6500000</v>
      </c>
      <c r="F2449" s="37"/>
      <c r="G2449" s="37">
        <f t="shared" si="450"/>
        <v>6500000</v>
      </c>
      <c r="H2449" s="64"/>
      <c r="I2449" s="64">
        <v>176013.16</v>
      </c>
      <c r="J2449" s="64">
        <v>55631.94</v>
      </c>
      <c r="K2449" s="18">
        <f t="shared" si="451"/>
        <v>6268354.8999999994</v>
      </c>
      <c r="L2449" s="19">
        <f t="shared" si="452"/>
        <v>29716667</v>
      </c>
      <c r="M2449" s="20"/>
      <c r="N2449" s="20"/>
      <c r="O2449" s="81"/>
      <c r="P2449" s="55">
        <v>9411322722</v>
      </c>
      <c r="Q2449" s="97">
        <v>44075</v>
      </c>
      <c r="R2449" s="14">
        <v>325000</v>
      </c>
      <c r="S2449" s="14">
        <v>416000</v>
      </c>
    </row>
    <row r="2450" spans="2:19" ht="12.75" hidden="1" customHeight="1" x14ac:dyDescent="0.25">
      <c r="B2450" s="89">
        <v>44147.125</v>
      </c>
      <c r="C2450" s="90" t="s">
        <v>2316</v>
      </c>
      <c r="D2450" s="34"/>
      <c r="E2450" s="37">
        <v>6500000</v>
      </c>
      <c r="F2450" s="37"/>
      <c r="G2450" s="37">
        <f t="shared" si="450"/>
        <v>6500000</v>
      </c>
      <c r="H2450" s="64"/>
      <c r="I2450" s="64">
        <v>176013.16</v>
      </c>
      <c r="J2450" s="64">
        <v>55631.94</v>
      </c>
      <c r="K2450" s="18">
        <f t="shared" si="451"/>
        <v>6268354.8999999994</v>
      </c>
      <c r="L2450" s="19">
        <f t="shared" si="452"/>
        <v>23216667</v>
      </c>
      <c r="M2450" s="20"/>
      <c r="N2450" s="20"/>
      <c r="O2450" s="81"/>
      <c r="P2450" s="55">
        <v>9412243987</v>
      </c>
      <c r="Q2450" s="97">
        <v>44105</v>
      </c>
      <c r="R2450" s="14">
        <v>325000</v>
      </c>
      <c r="S2450" s="14">
        <v>416000</v>
      </c>
    </row>
    <row r="2451" spans="2:19" ht="12.75" hidden="1" customHeight="1" x14ac:dyDescent="0.25">
      <c r="B2451" s="89">
        <v>44176.125</v>
      </c>
      <c r="C2451" s="90" t="s">
        <v>2317</v>
      </c>
      <c r="D2451" s="34"/>
      <c r="E2451" s="37">
        <v>6500000</v>
      </c>
      <c r="F2451" s="37"/>
      <c r="G2451" s="37">
        <f t="shared" si="450"/>
        <v>6500000</v>
      </c>
      <c r="H2451" s="64"/>
      <c r="I2451" s="64">
        <v>176013.16</v>
      </c>
      <c r="J2451" s="64">
        <v>55631.94</v>
      </c>
      <c r="K2451" s="18">
        <f t="shared" si="451"/>
        <v>6268354.8999999994</v>
      </c>
      <c r="L2451" s="19">
        <f t="shared" si="452"/>
        <v>16716667</v>
      </c>
      <c r="M2451" s="20"/>
      <c r="N2451" s="20"/>
      <c r="O2451" s="81"/>
      <c r="P2451" s="55">
        <v>9413407545</v>
      </c>
      <c r="Q2451" s="97">
        <v>44136</v>
      </c>
      <c r="R2451" s="14">
        <v>325000</v>
      </c>
      <c r="S2451" s="14">
        <v>416000</v>
      </c>
    </row>
    <row r="2452" spans="2:19" ht="12.75" hidden="1" customHeight="1" x14ac:dyDescent="0.25">
      <c r="B2452" s="89">
        <v>44188.125</v>
      </c>
      <c r="C2452" s="90" t="s">
        <v>2318</v>
      </c>
      <c r="D2452" s="34"/>
      <c r="E2452" s="37">
        <v>6500000</v>
      </c>
      <c r="F2452" s="37"/>
      <c r="G2452" s="37">
        <f t="shared" si="450"/>
        <v>6500000</v>
      </c>
      <c r="H2452" s="64"/>
      <c r="I2452" s="64">
        <v>83388.14</v>
      </c>
      <c r="J2452" s="64">
        <v>55631.94</v>
      </c>
      <c r="K2452" s="18">
        <f t="shared" si="451"/>
        <v>6360979.9199999999</v>
      </c>
      <c r="L2452" s="19">
        <f t="shared" si="452"/>
        <v>10216667</v>
      </c>
      <c r="M2452" s="20"/>
      <c r="N2452" s="20"/>
      <c r="O2452" s="81"/>
      <c r="P2452" s="55">
        <v>9413892108</v>
      </c>
      <c r="Q2452" s="97">
        <v>44166</v>
      </c>
      <c r="R2452" s="14">
        <v>325000</v>
      </c>
      <c r="S2452" s="14">
        <v>416000</v>
      </c>
    </row>
    <row r="2453" spans="2:19" ht="12.75" hidden="1" customHeight="1" x14ac:dyDescent="0.25">
      <c r="B2453" s="89"/>
      <c r="C2453" s="90" t="s">
        <v>2047</v>
      </c>
      <c r="D2453" s="34"/>
      <c r="E2453" s="37">
        <v>10216667</v>
      </c>
      <c r="F2453" s="37"/>
      <c r="G2453" s="37">
        <f t="shared" si="450"/>
        <v>10216667</v>
      </c>
      <c r="H2453" s="64"/>
      <c r="I2453" s="64"/>
      <c r="J2453" s="64"/>
      <c r="K2453" s="18">
        <f t="shared" si="451"/>
        <v>10216667</v>
      </c>
      <c r="L2453" s="19">
        <f t="shared" si="452"/>
        <v>0</v>
      </c>
      <c r="M2453" s="20"/>
      <c r="N2453" s="20"/>
      <c r="O2453" s="81"/>
      <c r="P2453" s="55"/>
      <c r="Q2453" s="97"/>
      <c r="R2453" s="14"/>
      <c r="S2453" s="14"/>
    </row>
    <row r="2454" spans="2:19" ht="15" hidden="1" x14ac:dyDescent="0.25">
      <c r="B2454" s="9" t="s">
        <v>2319</v>
      </c>
      <c r="C2454" s="10"/>
      <c r="D2454" s="11">
        <v>60500000</v>
      </c>
      <c r="E2454" s="11">
        <f>+D2454</f>
        <v>60500000</v>
      </c>
      <c r="F2454" s="11"/>
      <c r="G2454" s="11"/>
      <c r="H2454" s="11"/>
      <c r="I2454" s="11"/>
      <c r="J2454" s="11"/>
      <c r="K2454" s="11"/>
      <c r="L2454" s="11">
        <f>+D2454</f>
        <v>60500000</v>
      </c>
      <c r="M2454" s="12"/>
      <c r="N2454" s="12"/>
      <c r="P2454" s="55"/>
      <c r="Q2454" s="55"/>
      <c r="R2454" s="14"/>
      <c r="S2454" s="14"/>
    </row>
    <row r="2455" spans="2:19" ht="12.75" hidden="1" customHeight="1" x14ac:dyDescent="0.25">
      <c r="B2455" s="89">
        <v>43893.125</v>
      </c>
      <c r="C2455" s="90" t="s">
        <v>2320</v>
      </c>
      <c r="D2455" s="34"/>
      <c r="E2455" s="37">
        <v>5500000</v>
      </c>
      <c r="F2455" s="37"/>
      <c r="G2455" s="37">
        <f t="shared" ref="G2455:G2460" si="453">+E2455</f>
        <v>5500000</v>
      </c>
      <c r="H2455" s="64"/>
      <c r="I2455" s="64"/>
      <c r="J2455" s="64">
        <v>47073.18</v>
      </c>
      <c r="K2455" s="18">
        <f t="shared" ref="K2455:K2460" si="454">+G2455-H2455-I2455-J2455</f>
        <v>5452926.8200000003</v>
      </c>
      <c r="L2455" s="19">
        <f t="shared" ref="L2455:L2460" si="455">+L2454-G2455</f>
        <v>55000000</v>
      </c>
      <c r="M2455" s="20"/>
      <c r="N2455" s="20"/>
      <c r="O2455" s="81">
        <f>+L2465-'[1]ANEXO 7 - PPTO VIG 2020'!T15</f>
        <v>0</v>
      </c>
      <c r="P2455" s="55">
        <v>7745772330</v>
      </c>
      <c r="Q2455" s="97">
        <v>43862</v>
      </c>
      <c r="R2455" s="14">
        <v>275000</v>
      </c>
      <c r="S2455" s="14">
        <v>352000</v>
      </c>
    </row>
    <row r="2456" spans="2:19" ht="12.75" hidden="1" customHeight="1" x14ac:dyDescent="0.25">
      <c r="B2456" s="89">
        <v>43927.083333333336</v>
      </c>
      <c r="C2456" s="90" t="s">
        <v>2321</v>
      </c>
      <c r="D2456" s="34"/>
      <c r="E2456" s="37">
        <v>5500000</v>
      </c>
      <c r="F2456" s="37"/>
      <c r="G2456" s="37">
        <f t="shared" si="453"/>
        <v>5500000</v>
      </c>
      <c r="H2456" s="64"/>
      <c r="I2456" s="64"/>
      <c r="J2456" s="64">
        <v>47073.18</v>
      </c>
      <c r="K2456" s="18">
        <f t="shared" si="454"/>
        <v>5452926.8200000003</v>
      </c>
      <c r="L2456" s="19">
        <f t="shared" si="455"/>
        <v>49500000</v>
      </c>
      <c r="M2456" s="20"/>
      <c r="N2456" s="20"/>
      <c r="O2456" s="81"/>
      <c r="P2456" s="55">
        <v>7749428431</v>
      </c>
      <c r="Q2456" s="97">
        <v>43891</v>
      </c>
      <c r="R2456" s="14">
        <v>276200</v>
      </c>
      <c r="S2456" s="14">
        <v>353600</v>
      </c>
    </row>
    <row r="2457" spans="2:19" ht="12.75" hidden="1" customHeight="1" x14ac:dyDescent="0.25">
      <c r="B2457" s="89">
        <v>43956.083333333336</v>
      </c>
      <c r="C2457" s="90" t="s">
        <v>2322</v>
      </c>
      <c r="D2457" s="34"/>
      <c r="E2457" s="37">
        <v>5500000</v>
      </c>
      <c r="F2457" s="37"/>
      <c r="G2457" s="37">
        <f t="shared" si="453"/>
        <v>5500000</v>
      </c>
      <c r="H2457" s="64"/>
      <c r="I2457" s="64"/>
      <c r="J2457" s="64">
        <v>47073.18</v>
      </c>
      <c r="K2457" s="18">
        <f t="shared" si="454"/>
        <v>5452926.8200000003</v>
      </c>
      <c r="L2457" s="19">
        <f t="shared" si="455"/>
        <v>44000000</v>
      </c>
      <c r="M2457" s="20"/>
      <c r="N2457" s="20"/>
      <c r="O2457" s="81"/>
      <c r="P2457" s="55">
        <v>7752394716</v>
      </c>
      <c r="Q2457" s="97">
        <v>43922</v>
      </c>
      <c r="R2457" s="14">
        <v>275000</v>
      </c>
      <c r="S2457" s="14">
        <v>352000</v>
      </c>
    </row>
    <row r="2458" spans="2:19" ht="12.75" hidden="1" customHeight="1" x14ac:dyDescent="0.25">
      <c r="B2458" s="89">
        <v>43987.083333333336</v>
      </c>
      <c r="C2458" s="90" t="s">
        <v>2323</v>
      </c>
      <c r="D2458" s="34"/>
      <c r="E2458" s="37">
        <v>5500000</v>
      </c>
      <c r="F2458" s="37"/>
      <c r="G2458" s="37">
        <f t="shared" si="453"/>
        <v>5500000</v>
      </c>
      <c r="H2458" s="64"/>
      <c r="I2458" s="64"/>
      <c r="J2458" s="64">
        <v>47073.18</v>
      </c>
      <c r="K2458" s="18">
        <f t="shared" si="454"/>
        <v>5452926.8200000003</v>
      </c>
      <c r="L2458" s="19">
        <f t="shared" si="455"/>
        <v>38500000</v>
      </c>
      <c r="M2458" s="20"/>
      <c r="N2458" s="20"/>
      <c r="O2458" s="81"/>
      <c r="P2458" s="55">
        <v>7755276080</v>
      </c>
      <c r="Q2458" s="97">
        <v>43952</v>
      </c>
      <c r="R2458" s="14">
        <v>275000</v>
      </c>
      <c r="S2458" s="14">
        <v>66000</v>
      </c>
    </row>
    <row r="2459" spans="2:19" ht="12.75" hidden="1" customHeight="1" x14ac:dyDescent="0.25">
      <c r="B2459" s="89">
        <v>44015.083333333336</v>
      </c>
      <c r="C2459" s="90" t="s">
        <v>2324</v>
      </c>
      <c r="D2459" s="34"/>
      <c r="E2459" s="37">
        <v>5500000</v>
      </c>
      <c r="F2459" s="37"/>
      <c r="G2459" s="37">
        <f t="shared" si="453"/>
        <v>5500000</v>
      </c>
      <c r="H2459" s="64"/>
      <c r="I2459" s="64">
        <v>12437.42</v>
      </c>
      <c r="J2459" s="64">
        <v>49835.94</v>
      </c>
      <c r="K2459" s="18">
        <f t="shared" si="454"/>
        <v>5437726.6399999997</v>
      </c>
      <c r="L2459" s="19">
        <f t="shared" si="455"/>
        <v>33000000</v>
      </c>
      <c r="M2459" s="20"/>
      <c r="N2459" s="20"/>
      <c r="O2459" s="81"/>
      <c r="P2459" s="55">
        <v>7758516201</v>
      </c>
      <c r="Q2459" s="97">
        <v>43983</v>
      </c>
      <c r="R2459" s="14">
        <v>275000</v>
      </c>
      <c r="S2459" s="14">
        <v>352000</v>
      </c>
    </row>
    <row r="2460" spans="2:19" ht="12.75" hidden="1" customHeight="1" x14ac:dyDescent="0.25">
      <c r="B2460" s="89">
        <v>44047.083333333336</v>
      </c>
      <c r="C2460" s="90" t="s">
        <v>2325</v>
      </c>
      <c r="D2460" s="34"/>
      <c r="E2460" s="37">
        <v>5500000</v>
      </c>
      <c r="F2460" s="37"/>
      <c r="G2460" s="37">
        <f t="shared" si="453"/>
        <v>5500000</v>
      </c>
      <c r="H2460" s="64"/>
      <c r="I2460" s="64"/>
      <c r="J2460" s="64">
        <v>47073.18</v>
      </c>
      <c r="K2460" s="18">
        <f t="shared" si="454"/>
        <v>5452926.8200000003</v>
      </c>
      <c r="L2460" s="19">
        <f t="shared" si="455"/>
        <v>27500000</v>
      </c>
      <c r="M2460" s="20"/>
      <c r="N2460" s="20"/>
      <c r="O2460" s="81"/>
      <c r="P2460" s="55">
        <v>7760986207</v>
      </c>
      <c r="Q2460" s="97">
        <v>44013</v>
      </c>
      <c r="R2460" s="14">
        <v>275000</v>
      </c>
      <c r="S2460" s="14">
        <v>352000</v>
      </c>
    </row>
    <row r="2461" spans="2:19" ht="12.75" hidden="1" customHeight="1" x14ac:dyDescent="0.25">
      <c r="B2461" s="89">
        <v>44084.083333333336</v>
      </c>
      <c r="C2461" s="90" t="s">
        <v>2326</v>
      </c>
      <c r="D2461" s="34"/>
      <c r="E2461" s="37">
        <v>5500000</v>
      </c>
      <c r="F2461" s="37"/>
      <c r="G2461" s="37">
        <f>+E2461</f>
        <v>5500000</v>
      </c>
      <c r="H2461" s="64"/>
      <c r="I2461" s="64"/>
      <c r="J2461" s="64">
        <v>47073.18</v>
      </c>
      <c r="K2461" s="18">
        <f>+G2461-H2461-I2461-J2461</f>
        <v>5452926.8200000003</v>
      </c>
      <c r="L2461" s="19">
        <f>+L2460-G2461</f>
        <v>22000000</v>
      </c>
      <c r="M2461" s="20"/>
      <c r="N2461" s="20"/>
      <c r="O2461" s="81"/>
      <c r="P2461" s="55">
        <v>7763641741</v>
      </c>
      <c r="Q2461" s="97">
        <v>44044</v>
      </c>
      <c r="R2461" s="14">
        <v>275000</v>
      </c>
      <c r="S2461" s="14">
        <v>352000</v>
      </c>
    </row>
    <row r="2462" spans="2:19" ht="12.75" hidden="1" customHeight="1" x14ac:dyDescent="0.25">
      <c r="B2462" s="89">
        <v>44106.083333333336</v>
      </c>
      <c r="C2462" s="90" t="s">
        <v>2327</v>
      </c>
      <c r="D2462" s="34"/>
      <c r="E2462" s="37">
        <v>5500000</v>
      </c>
      <c r="F2462" s="37"/>
      <c r="G2462" s="37">
        <f>+E2462</f>
        <v>5500000</v>
      </c>
      <c r="H2462" s="64"/>
      <c r="I2462" s="64"/>
      <c r="J2462" s="64">
        <v>47073.18</v>
      </c>
      <c r="K2462" s="18">
        <f>+G2462-H2462-I2462-J2462</f>
        <v>5452926.8200000003</v>
      </c>
      <c r="L2462" s="19">
        <f>+L2461-G2462</f>
        <v>16500000</v>
      </c>
      <c r="M2462" s="20"/>
      <c r="N2462" s="20"/>
      <c r="O2462" s="81"/>
      <c r="P2462" s="55">
        <v>7766469980</v>
      </c>
      <c r="Q2462" s="97">
        <v>44075</v>
      </c>
      <c r="R2462" s="14">
        <v>275000</v>
      </c>
      <c r="S2462" s="14">
        <v>352000</v>
      </c>
    </row>
    <row r="2463" spans="2:19" ht="12.75" hidden="1" customHeight="1" x14ac:dyDescent="0.25">
      <c r="B2463" s="89">
        <v>44141.125</v>
      </c>
      <c r="C2463" s="90" t="s">
        <v>2328</v>
      </c>
      <c r="D2463" s="34"/>
      <c r="E2463" s="37">
        <v>5500000</v>
      </c>
      <c r="F2463" s="37"/>
      <c r="G2463" s="37">
        <f>+E2463</f>
        <v>5500000</v>
      </c>
      <c r="H2463" s="64"/>
      <c r="I2463" s="64"/>
      <c r="J2463" s="64">
        <v>47073.18</v>
      </c>
      <c r="K2463" s="18">
        <f>+G2463-H2463-I2463-J2463</f>
        <v>5452926.8200000003</v>
      </c>
      <c r="L2463" s="19">
        <f>+L2462-G2463</f>
        <v>11000000</v>
      </c>
      <c r="M2463" s="20"/>
      <c r="N2463" s="20"/>
      <c r="O2463" s="81"/>
      <c r="P2463" s="55">
        <v>7770052857</v>
      </c>
      <c r="Q2463" s="97">
        <v>44105</v>
      </c>
      <c r="R2463" s="14">
        <v>275000</v>
      </c>
      <c r="S2463" s="14">
        <v>352000</v>
      </c>
    </row>
    <row r="2464" spans="2:19" ht="12.75" hidden="1" customHeight="1" x14ac:dyDescent="0.25">
      <c r="B2464" s="89">
        <v>44168.125</v>
      </c>
      <c r="C2464" s="90" t="s">
        <v>2329</v>
      </c>
      <c r="D2464" s="34"/>
      <c r="E2464" s="37">
        <v>5500000</v>
      </c>
      <c r="F2464" s="37"/>
      <c r="G2464" s="37">
        <f>+E2464</f>
        <v>5500000</v>
      </c>
      <c r="H2464" s="64"/>
      <c r="I2464" s="64"/>
      <c r="J2464" s="64">
        <v>47073.18</v>
      </c>
      <c r="K2464" s="18">
        <f>+G2464-H2464-I2464-J2464</f>
        <v>5452926.8200000003</v>
      </c>
      <c r="L2464" s="19">
        <f>+L2463-G2464</f>
        <v>5500000</v>
      </c>
      <c r="M2464" s="20"/>
      <c r="N2464" s="20"/>
      <c r="O2464" s="81"/>
      <c r="P2464" s="55">
        <v>7772894596</v>
      </c>
      <c r="Q2464" s="97">
        <v>44136</v>
      </c>
      <c r="R2464" s="14">
        <v>275000</v>
      </c>
      <c r="S2464" s="14">
        <v>352000</v>
      </c>
    </row>
    <row r="2465" spans="2:19" ht="12.75" hidden="1" customHeight="1" x14ac:dyDescent="0.25">
      <c r="B2465" s="89">
        <v>44189.125</v>
      </c>
      <c r="C2465" s="90" t="s">
        <v>2330</v>
      </c>
      <c r="D2465" s="34"/>
      <c r="E2465" s="37">
        <v>5500000</v>
      </c>
      <c r="F2465" s="37"/>
      <c r="G2465" s="37">
        <f>+E2465</f>
        <v>5500000</v>
      </c>
      <c r="H2465" s="64"/>
      <c r="I2465" s="64"/>
      <c r="J2465" s="64">
        <v>47073.18</v>
      </c>
      <c r="K2465" s="18">
        <f>+G2465-H2465-I2465-J2465</f>
        <v>5452926.8200000003</v>
      </c>
      <c r="L2465" s="19">
        <f>+L2464-G2465</f>
        <v>0</v>
      </c>
      <c r="M2465" s="20"/>
      <c r="N2465" s="20"/>
      <c r="O2465" s="81"/>
      <c r="P2465" s="55">
        <v>7773011280</v>
      </c>
      <c r="Q2465" s="97">
        <v>44166</v>
      </c>
      <c r="R2465" s="14">
        <v>275000</v>
      </c>
      <c r="S2465" s="14">
        <v>352000</v>
      </c>
    </row>
    <row r="2466" spans="2:19" ht="15" hidden="1" x14ac:dyDescent="0.25">
      <c r="B2466" s="9" t="s">
        <v>2331</v>
      </c>
      <c r="C2466" s="10"/>
      <c r="D2466" s="11">
        <v>95470000</v>
      </c>
      <c r="E2466" s="11">
        <f>+D2466</f>
        <v>95470000</v>
      </c>
      <c r="F2466" s="11"/>
      <c r="G2466" s="11"/>
      <c r="H2466" s="11"/>
      <c r="I2466" s="11"/>
      <c r="J2466" s="11"/>
      <c r="K2466" s="11"/>
      <c r="L2466" s="11">
        <f>+D2466</f>
        <v>95470000</v>
      </c>
      <c r="M2466" s="12"/>
      <c r="N2466" s="12"/>
      <c r="P2466" s="55"/>
      <c r="Q2466" s="55"/>
      <c r="R2466" s="14"/>
      <c r="S2466" s="14"/>
    </row>
    <row r="2467" spans="2:19" ht="12.75" hidden="1" customHeight="1" x14ac:dyDescent="0.25">
      <c r="B2467" s="89">
        <v>43894.125</v>
      </c>
      <c r="C2467" s="90" t="s">
        <v>2332</v>
      </c>
      <c r="D2467" s="34"/>
      <c r="E2467" s="37">
        <v>513333</v>
      </c>
      <c r="F2467" s="37"/>
      <c r="G2467" s="37">
        <f t="shared" ref="G2467:G2479" si="456">+E2467</f>
        <v>513333</v>
      </c>
      <c r="H2467" s="64"/>
      <c r="I2467" s="64"/>
      <c r="J2467" s="64">
        <v>4393.49</v>
      </c>
      <c r="K2467" s="18">
        <f t="shared" ref="K2467:K2479" si="457">+G2467-H2467-I2467-J2467</f>
        <v>508939.51</v>
      </c>
      <c r="L2467" s="19">
        <f t="shared" ref="L2467:L2479" si="458">+L2466-G2467</f>
        <v>94956667</v>
      </c>
      <c r="M2467" s="20"/>
      <c r="N2467" s="20"/>
      <c r="O2467" s="81">
        <f>+L2479-'[1]ANEXO 7 - PPTO VIG 2020'!T45</f>
        <v>0</v>
      </c>
      <c r="P2467" s="55">
        <v>40231118</v>
      </c>
      <c r="Q2467" s="97">
        <v>43831</v>
      </c>
      <c r="R2467" s="14">
        <v>109800</v>
      </c>
      <c r="S2467" s="14">
        <v>140500</v>
      </c>
    </row>
    <row r="2468" spans="2:19" ht="12.75" hidden="1" customHeight="1" x14ac:dyDescent="0.25">
      <c r="B2468" s="89">
        <v>43900.083333333336</v>
      </c>
      <c r="C2468" s="90" t="s">
        <v>2333</v>
      </c>
      <c r="D2468" s="34"/>
      <c r="E2468" s="37">
        <v>7700000</v>
      </c>
      <c r="F2468" s="37"/>
      <c r="G2468" s="37">
        <f t="shared" si="456"/>
        <v>7700000</v>
      </c>
      <c r="H2468" s="64"/>
      <c r="I2468" s="64">
        <v>274278.26</v>
      </c>
      <c r="J2468" s="64">
        <v>65902.45</v>
      </c>
      <c r="K2468" s="18">
        <f t="shared" si="457"/>
        <v>7359819.29</v>
      </c>
      <c r="L2468" s="19">
        <f t="shared" si="458"/>
        <v>87256667</v>
      </c>
      <c r="M2468" s="20"/>
      <c r="N2468" s="20"/>
      <c r="O2468" s="81"/>
      <c r="P2468" s="55">
        <v>40757509</v>
      </c>
      <c r="Q2468" s="97">
        <v>43862</v>
      </c>
      <c r="R2468" s="14">
        <v>385000</v>
      </c>
      <c r="S2468" s="14">
        <v>492800</v>
      </c>
    </row>
    <row r="2469" spans="2:19" ht="12.75" hidden="1" customHeight="1" x14ac:dyDescent="0.25">
      <c r="B2469" s="89">
        <v>43936.083333333336</v>
      </c>
      <c r="C2469" s="90" t="s">
        <v>2334</v>
      </c>
      <c r="D2469" s="34"/>
      <c r="E2469" s="37">
        <v>7700000</v>
      </c>
      <c r="F2469" s="37"/>
      <c r="G2469" s="37">
        <f t="shared" si="456"/>
        <v>7700000</v>
      </c>
      <c r="H2469" s="64"/>
      <c r="I2469" s="64">
        <v>217437.92</v>
      </c>
      <c r="J2469" s="64">
        <v>65902.45</v>
      </c>
      <c r="K2469" s="18">
        <f t="shared" si="457"/>
        <v>7416659.6299999999</v>
      </c>
      <c r="L2469" s="19">
        <f t="shared" si="458"/>
        <v>79556667</v>
      </c>
      <c r="M2469" s="20"/>
      <c r="N2469" s="20"/>
      <c r="O2469" s="81"/>
      <c r="P2469" s="55">
        <v>41531990</v>
      </c>
      <c r="Q2469" s="97">
        <v>43891</v>
      </c>
      <c r="R2469" s="14">
        <v>385000</v>
      </c>
      <c r="S2469" s="14">
        <v>492800</v>
      </c>
    </row>
    <row r="2470" spans="2:19" ht="12.75" hidden="1" customHeight="1" x14ac:dyDescent="0.25">
      <c r="B2470" s="89">
        <v>43962.083333333336</v>
      </c>
      <c r="C2470" s="90" t="s">
        <v>2335</v>
      </c>
      <c r="D2470" s="34"/>
      <c r="E2470" s="37">
        <v>7700000</v>
      </c>
      <c r="F2470" s="37"/>
      <c r="G2470" s="37">
        <f t="shared" si="456"/>
        <v>7700000</v>
      </c>
      <c r="H2470" s="64"/>
      <c r="I2470" s="64">
        <v>217437.92</v>
      </c>
      <c r="J2470" s="64">
        <v>65902.45</v>
      </c>
      <c r="K2470" s="18">
        <f t="shared" si="457"/>
        <v>7416659.6299999999</v>
      </c>
      <c r="L2470" s="19">
        <f t="shared" si="458"/>
        <v>71856667</v>
      </c>
      <c r="M2470" s="20"/>
      <c r="N2470" s="20"/>
      <c r="O2470" s="81"/>
      <c r="P2470" s="55">
        <v>42988925</v>
      </c>
      <c r="Q2470" s="97">
        <v>43922</v>
      </c>
      <c r="R2470" s="14">
        <v>385000</v>
      </c>
      <c r="S2470" s="14">
        <v>492800</v>
      </c>
    </row>
    <row r="2471" spans="2:19" ht="12.75" hidden="1" customHeight="1" x14ac:dyDescent="0.25">
      <c r="B2471" s="89">
        <v>43998.083333333336</v>
      </c>
      <c r="C2471" s="90" t="s">
        <v>2336</v>
      </c>
      <c r="D2471" s="34"/>
      <c r="E2471" s="37">
        <v>7700000</v>
      </c>
      <c r="F2471" s="37"/>
      <c r="G2471" s="37">
        <f t="shared" si="456"/>
        <v>7700000</v>
      </c>
      <c r="H2471" s="64"/>
      <c r="I2471" s="64">
        <v>217437.92</v>
      </c>
      <c r="J2471" s="64">
        <v>65902.45</v>
      </c>
      <c r="K2471" s="18">
        <f t="shared" si="457"/>
        <v>7416659.6299999999</v>
      </c>
      <c r="L2471" s="19">
        <f t="shared" si="458"/>
        <v>64156667</v>
      </c>
      <c r="M2471" s="20"/>
      <c r="N2471" s="20"/>
      <c r="O2471" s="81"/>
      <c r="P2471" s="55">
        <v>42988925</v>
      </c>
      <c r="Q2471" s="97">
        <v>43952</v>
      </c>
      <c r="R2471" s="14">
        <v>385000</v>
      </c>
      <c r="S2471" s="14">
        <v>492800</v>
      </c>
    </row>
    <row r="2472" spans="2:19" ht="12.75" hidden="1" customHeight="1" x14ac:dyDescent="0.25">
      <c r="B2472" s="89">
        <v>44022.083333333336</v>
      </c>
      <c r="C2472" s="90" t="s">
        <v>2337</v>
      </c>
      <c r="D2472" s="34"/>
      <c r="E2472" s="37">
        <v>7700000</v>
      </c>
      <c r="F2472" s="37"/>
      <c r="G2472" s="37">
        <f t="shared" si="456"/>
        <v>7700000</v>
      </c>
      <c r="H2472" s="64"/>
      <c r="I2472" s="64">
        <v>217437.92</v>
      </c>
      <c r="J2472" s="64">
        <v>65902.45</v>
      </c>
      <c r="K2472" s="18">
        <f t="shared" si="457"/>
        <v>7416659.6299999999</v>
      </c>
      <c r="L2472" s="19">
        <f t="shared" si="458"/>
        <v>56456667</v>
      </c>
      <c r="M2472" s="20"/>
      <c r="N2472" s="20"/>
      <c r="O2472" s="81"/>
      <c r="P2472" s="55">
        <v>43519760</v>
      </c>
      <c r="Q2472" s="97">
        <v>43983</v>
      </c>
      <c r="R2472" s="14">
        <v>385000</v>
      </c>
      <c r="S2472" s="14">
        <v>492800</v>
      </c>
    </row>
    <row r="2473" spans="2:19" ht="12.75" hidden="1" customHeight="1" x14ac:dyDescent="0.25">
      <c r="B2473" s="89">
        <v>44055.083333333336</v>
      </c>
      <c r="C2473" s="90" t="s">
        <v>2338</v>
      </c>
      <c r="D2473" s="34"/>
      <c r="E2473" s="37">
        <v>7700000</v>
      </c>
      <c r="F2473" s="37"/>
      <c r="G2473" s="37">
        <f t="shared" si="456"/>
        <v>7700000</v>
      </c>
      <c r="H2473" s="64"/>
      <c r="I2473" s="64">
        <v>217437.92</v>
      </c>
      <c r="J2473" s="64">
        <v>65902.45</v>
      </c>
      <c r="K2473" s="18">
        <f t="shared" si="457"/>
        <v>7416659.6299999999</v>
      </c>
      <c r="L2473" s="19">
        <f t="shared" si="458"/>
        <v>48756667</v>
      </c>
      <c r="M2473" s="20"/>
      <c r="N2473" s="20"/>
      <c r="O2473" s="81"/>
      <c r="P2473" s="55">
        <v>44135573</v>
      </c>
      <c r="Q2473" s="97">
        <v>44013</v>
      </c>
      <c r="R2473" s="14">
        <v>385000</v>
      </c>
      <c r="S2473" s="14">
        <v>492800</v>
      </c>
    </row>
    <row r="2474" spans="2:19" ht="12.75" hidden="1" customHeight="1" x14ac:dyDescent="0.25">
      <c r="B2474" s="89">
        <v>44078.083333333336</v>
      </c>
      <c r="C2474" s="90" t="s">
        <v>2339</v>
      </c>
      <c r="D2474" s="34"/>
      <c r="E2474" s="37">
        <v>7700000</v>
      </c>
      <c r="F2474" s="37"/>
      <c r="G2474" s="37">
        <f t="shared" si="456"/>
        <v>7700000</v>
      </c>
      <c r="H2474" s="64"/>
      <c r="I2474" s="64">
        <v>217437.92</v>
      </c>
      <c r="J2474" s="64">
        <v>65902.45</v>
      </c>
      <c r="K2474" s="18">
        <f t="shared" si="457"/>
        <v>7416659.6299999999</v>
      </c>
      <c r="L2474" s="19">
        <f t="shared" si="458"/>
        <v>41056667</v>
      </c>
      <c r="M2474" s="20"/>
      <c r="N2474" s="20"/>
      <c r="O2474" s="81"/>
      <c r="P2474" s="55">
        <v>44893656</v>
      </c>
      <c r="Q2474" s="97">
        <v>44044</v>
      </c>
      <c r="R2474" s="14">
        <v>385000</v>
      </c>
      <c r="S2474" s="14">
        <v>492800</v>
      </c>
    </row>
    <row r="2475" spans="2:19" ht="12.75" hidden="1" customHeight="1" x14ac:dyDescent="0.25">
      <c r="B2475" s="89">
        <v>44112.083333333336</v>
      </c>
      <c r="C2475" s="90" t="s">
        <v>2340</v>
      </c>
      <c r="D2475" s="34"/>
      <c r="E2475" s="37">
        <v>7700000</v>
      </c>
      <c r="F2475" s="37"/>
      <c r="G2475" s="37">
        <f t="shared" si="456"/>
        <v>7700000</v>
      </c>
      <c r="H2475" s="64"/>
      <c r="I2475" s="64">
        <v>179882.04</v>
      </c>
      <c r="J2475" s="64">
        <v>65902.45</v>
      </c>
      <c r="K2475" s="18">
        <f t="shared" si="457"/>
        <v>7454215.5099999998</v>
      </c>
      <c r="L2475" s="19">
        <f t="shared" si="458"/>
        <v>33356667</v>
      </c>
      <c r="M2475" s="20"/>
      <c r="N2475" s="20"/>
      <c r="O2475" s="81"/>
      <c r="P2475" s="55">
        <v>45427789</v>
      </c>
      <c r="Q2475" s="97">
        <v>44075</v>
      </c>
      <c r="R2475" s="14">
        <v>385000</v>
      </c>
      <c r="S2475" s="14">
        <v>492800</v>
      </c>
    </row>
    <row r="2476" spans="2:19" ht="12.75" hidden="1" customHeight="1" x14ac:dyDescent="0.25">
      <c r="B2476" s="89">
        <v>44147.125</v>
      </c>
      <c r="C2476" s="90" t="s">
        <v>2341</v>
      </c>
      <c r="D2476" s="34"/>
      <c r="E2476" s="37">
        <v>7700000</v>
      </c>
      <c r="F2476" s="37"/>
      <c r="G2476" s="37">
        <f t="shared" si="456"/>
        <v>7700000</v>
      </c>
      <c r="H2476" s="64"/>
      <c r="I2476" s="64">
        <v>179882.04</v>
      </c>
      <c r="J2476" s="64">
        <v>65902.45</v>
      </c>
      <c r="K2476" s="18">
        <f t="shared" si="457"/>
        <v>7454215.5099999998</v>
      </c>
      <c r="L2476" s="19">
        <f t="shared" si="458"/>
        <v>25656667</v>
      </c>
      <c r="M2476" s="20"/>
      <c r="N2476" s="20"/>
      <c r="O2476" s="81"/>
      <c r="P2476" s="55">
        <v>46002749</v>
      </c>
      <c r="Q2476" s="97">
        <v>44105</v>
      </c>
      <c r="R2476" s="14">
        <v>385000</v>
      </c>
      <c r="S2476" s="14">
        <v>492800</v>
      </c>
    </row>
    <row r="2477" spans="2:19" ht="12.75" hidden="1" customHeight="1" x14ac:dyDescent="0.25">
      <c r="B2477" s="89">
        <v>44176.125</v>
      </c>
      <c r="C2477" s="90" t="s">
        <v>2342</v>
      </c>
      <c r="D2477" s="34"/>
      <c r="E2477" s="37">
        <v>7700000</v>
      </c>
      <c r="F2477" s="37"/>
      <c r="G2477" s="37">
        <f t="shared" si="456"/>
        <v>7700000</v>
      </c>
      <c r="H2477" s="64"/>
      <c r="I2477" s="64">
        <v>179882.04</v>
      </c>
      <c r="J2477" s="64">
        <v>65902.45</v>
      </c>
      <c r="K2477" s="18">
        <f t="shared" si="457"/>
        <v>7454215.5099999998</v>
      </c>
      <c r="L2477" s="19">
        <f t="shared" si="458"/>
        <v>17956667</v>
      </c>
      <c r="M2477" s="20"/>
      <c r="N2477" s="20"/>
      <c r="O2477" s="81"/>
      <c r="P2477" s="55">
        <v>803397366</v>
      </c>
      <c r="Q2477" s="97">
        <v>44136</v>
      </c>
      <c r="R2477" s="14">
        <v>385000</v>
      </c>
      <c r="S2477" s="14">
        <v>492800</v>
      </c>
    </row>
    <row r="2478" spans="2:19" ht="12.75" hidden="1" customHeight="1" x14ac:dyDescent="0.25">
      <c r="B2478" s="89">
        <v>44187.125</v>
      </c>
      <c r="C2478" s="90" t="s">
        <v>2343</v>
      </c>
      <c r="D2478" s="34"/>
      <c r="E2478" s="37">
        <v>7700000</v>
      </c>
      <c r="F2478" s="37"/>
      <c r="G2478" s="37">
        <f t="shared" si="456"/>
        <v>7700000</v>
      </c>
      <c r="H2478" s="64"/>
      <c r="I2478" s="64">
        <v>179882.04</v>
      </c>
      <c r="J2478" s="64">
        <v>74382</v>
      </c>
      <c r="K2478" s="18">
        <f t="shared" si="457"/>
        <v>7445735.96</v>
      </c>
      <c r="L2478" s="19">
        <f t="shared" si="458"/>
        <v>10256667</v>
      </c>
      <c r="M2478" s="20"/>
      <c r="N2478" s="20"/>
      <c r="O2478" s="81"/>
      <c r="P2478" s="55">
        <v>828271916</v>
      </c>
      <c r="Q2478" s="97">
        <v>44166</v>
      </c>
      <c r="R2478" s="14">
        <v>385000</v>
      </c>
      <c r="S2478" s="14">
        <v>492800</v>
      </c>
    </row>
    <row r="2479" spans="2:19" ht="12.75" hidden="1" customHeight="1" x14ac:dyDescent="0.25">
      <c r="B2479" s="89"/>
      <c r="C2479" s="90" t="s">
        <v>2047</v>
      </c>
      <c r="D2479" s="34"/>
      <c r="E2479" s="37">
        <v>10256667</v>
      </c>
      <c r="F2479" s="37"/>
      <c r="G2479" s="37">
        <f t="shared" si="456"/>
        <v>10256667</v>
      </c>
      <c r="H2479" s="64"/>
      <c r="I2479" s="64"/>
      <c r="J2479" s="64"/>
      <c r="K2479" s="18">
        <f t="shared" si="457"/>
        <v>10256667</v>
      </c>
      <c r="L2479" s="19">
        <f t="shared" si="458"/>
        <v>0</v>
      </c>
      <c r="M2479" s="20"/>
      <c r="N2479" s="20"/>
      <c r="O2479" s="81"/>
      <c r="P2479" s="55"/>
      <c r="Q2479" s="97"/>
      <c r="R2479" s="14"/>
      <c r="S2479" s="14"/>
    </row>
    <row r="2480" spans="2:19" ht="15" hidden="1" x14ac:dyDescent="0.25">
      <c r="B2480" s="9" t="s">
        <v>2344</v>
      </c>
      <c r="C2480" s="10"/>
      <c r="D2480" s="11">
        <v>25168000</v>
      </c>
      <c r="E2480" s="11">
        <f>+D2480</f>
        <v>25168000</v>
      </c>
      <c r="F2480" s="11"/>
      <c r="G2480" s="11"/>
      <c r="H2480" s="11"/>
      <c r="I2480" s="11"/>
      <c r="J2480" s="11"/>
      <c r="K2480" s="11"/>
      <c r="L2480" s="11">
        <f>+D2480</f>
        <v>25168000</v>
      </c>
      <c r="M2480" s="12"/>
      <c r="N2480" s="12"/>
      <c r="P2480" s="55"/>
      <c r="Q2480" s="55"/>
      <c r="R2480" s="14"/>
      <c r="S2480" s="14"/>
    </row>
    <row r="2481" spans="2:20" ht="12.75" hidden="1" customHeight="1" x14ac:dyDescent="0.25">
      <c r="B2481" s="89">
        <v>43895.125</v>
      </c>
      <c r="C2481" s="90" t="s">
        <v>2345</v>
      </c>
      <c r="D2481" s="34"/>
      <c r="E2481" s="102">
        <v>1982933</v>
      </c>
      <c r="F2481" s="37"/>
      <c r="G2481" s="37">
        <f t="shared" ref="G2481:G2492" si="459">+E2481</f>
        <v>1982933</v>
      </c>
      <c r="H2481" s="64"/>
      <c r="I2481" s="64"/>
      <c r="J2481" s="91">
        <v>16971.45</v>
      </c>
      <c r="K2481" s="18">
        <f t="shared" ref="K2481:K2492" si="460">+G2481-H2481-I2481-J2481</f>
        <v>1965961.55</v>
      </c>
      <c r="L2481" s="19">
        <f t="shared" ref="L2481:L2492" si="461">+L2480-G2481</f>
        <v>23185067</v>
      </c>
      <c r="M2481" s="20"/>
      <c r="N2481" s="20"/>
      <c r="O2481" s="81">
        <f>+L2492-'[1]ANEXO 7 - PPTO VIG 2020'!T108</f>
        <v>0</v>
      </c>
      <c r="P2481" s="55">
        <v>1027706400</v>
      </c>
      <c r="Q2481" s="97">
        <v>43862</v>
      </c>
      <c r="R2481" s="14">
        <v>114500</v>
      </c>
      <c r="S2481" s="14">
        <v>146500</v>
      </c>
    </row>
    <row r="2482" spans="2:20" ht="12.75" hidden="1" customHeight="1" x14ac:dyDescent="0.25">
      <c r="B2482" s="89">
        <v>43929.083333333336</v>
      </c>
      <c r="C2482" s="90" t="s">
        <v>2346</v>
      </c>
      <c r="D2482" s="34"/>
      <c r="E2482" s="102">
        <v>2288000</v>
      </c>
      <c r="F2482" s="37"/>
      <c r="G2482" s="37">
        <f t="shared" si="459"/>
        <v>2288000</v>
      </c>
      <c r="H2482" s="64"/>
      <c r="I2482" s="64"/>
      <c r="J2482" s="91">
        <v>22102.080000000002</v>
      </c>
      <c r="K2482" s="18">
        <f t="shared" si="460"/>
        <v>2265897.92</v>
      </c>
      <c r="L2482" s="19">
        <f t="shared" si="461"/>
        <v>20897067</v>
      </c>
      <c r="M2482" s="20"/>
      <c r="N2482" s="20"/>
      <c r="O2482" s="81"/>
      <c r="P2482" s="55">
        <v>1029245374</v>
      </c>
      <c r="Q2482" s="97">
        <v>43891</v>
      </c>
      <c r="R2482" s="14">
        <v>114500</v>
      </c>
      <c r="S2482" s="14">
        <v>146500</v>
      </c>
    </row>
    <row r="2483" spans="2:20" ht="12.75" hidden="1" customHeight="1" x14ac:dyDescent="0.25">
      <c r="B2483" s="89">
        <v>43956.083333333336</v>
      </c>
      <c r="C2483" s="90" t="s">
        <v>2347</v>
      </c>
      <c r="D2483" s="34"/>
      <c r="E2483" s="102">
        <v>2288000</v>
      </c>
      <c r="F2483" s="37"/>
      <c r="G2483" s="37">
        <f t="shared" si="459"/>
        <v>2288000</v>
      </c>
      <c r="H2483" s="64"/>
      <c r="I2483" s="64"/>
      <c r="J2483" s="91">
        <v>19582.439999999999</v>
      </c>
      <c r="K2483" s="18">
        <f t="shared" si="460"/>
        <v>2268417.56</v>
      </c>
      <c r="L2483" s="19">
        <f t="shared" si="461"/>
        <v>18609067</v>
      </c>
      <c r="M2483" s="20"/>
      <c r="N2483" s="20"/>
      <c r="O2483" s="81"/>
      <c r="P2483" s="55">
        <v>1030025568</v>
      </c>
      <c r="Q2483" s="97">
        <v>43922</v>
      </c>
      <c r="R2483" s="14">
        <v>114500</v>
      </c>
      <c r="S2483" s="14">
        <v>146500</v>
      </c>
    </row>
    <row r="2484" spans="2:20" ht="12.75" hidden="1" customHeight="1" x14ac:dyDescent="0.25">
      <c r="B2484" s="89">
        <v>43987.083333333336</v>
      </c>
      <c r="C2484" s="90" t="s">
        <v>2348</v>
      </c>
      <c r="D2484" s="34"/>
      <c r="E2484" s="102">
        <v>2288000</v>
      </c>
      <c r="F2484" s="37"/>
      <c r="G2484" s="37">
        <f t="shared" si="459"/>
        <v>2288000</v>
      </c>
      <c r="H2484" s="64"/>
      <c r="I2484" s="64"/>
      <c r="J2484" s="91">
        <v>19582.439999999999</v>
      </c>
      <c r="K2484" s="18">
        <f t="shared" si="460"/>
        <v>2268417.56</v>
      </c>
      <c r="L2484" s="19">
        <f t="shared" si="461"/>
        <v>16321067</v>
      </c>
      <c r="M2484" s="20"/>
      <c r="N2484" s="20"/>
      <c r="O2484" s="81"/>
      <c r="P2484" s="55">
        <v>1030709077</v>
      </c>
      <c r="Q2484" s="97">
        <v>43952</v>
      </c>
      <c r="R2484" s="14">
        <v>114500</v>
      </c>
      <c r="S2484" s="14">
        <v>27500</v>
      </c>
    </row>
    <row r="2485" spans="2:20" ht="12.75" hidden="1" customHeight="1" x14ac:dyDescent="0.25">
      <c r="B2485" s="89">
        <v>44025.083333333336</v>
      </c>
      <c r="C2485" s="90" t="s">
        <v>2349</v>
      </c>
      <c r="D2485" s="34"/>
      <c r="E2485" s="102">
        <v>2288000</v>
      </c>
      <c r="F2485" s="37"/>
      <c r="G2485" s="37">
        <f t="shared" si="459"/>
        <v>2288000</v>
      </c>
      <c r="H2485" s="64"/>
      <c r="I2485" s="64"/>
      <c r="J2485" s="91">
        <v>20731.75</v>
      </c>
      <c r="K2485" s="18">
        <f t="shared" si="460"/>
        <v>2267268.25</v>
      </c>
      <c r="L2485" s="19">
        <f t="shared" si="461"/>
        <v>14033067</v>
      </c>
      <c r="M2485" s="20"/>
      <c r="N2485" s="20"/>
      <c r="O2485" s="81"/>
      <c r="P2485" s="55">
        <v>1031369499</v>
      </c>
      <c r="Q2485" s="97">
        <v>43983</v>
      </c>
      <c r="R2485" s="14">
        <v>114500</v>
      </c>
      <c r="S2485" s="14">
        <v>146500</v>
      </c>
    </row>
    <row r="2486" spans="2:20" ht="12.75" hidden="1" customHeight="1" x14ac:dyDescent="0.25">
      <c r="B2486" s="89">
        <v>44047.083333333336</v>
      </c>
      <c r="C2486" s="90" t="s">
        <v>2350</v>
      </c>
      <c r="D2486" s="34"/>
      <c r="E2486" s="102">
        <v>2288000</v>
      </c>
      <c r="F2486" s="37"/>
      <c r="G2486" s="37">
        <f t="shared" si="459"/>
        <v>2288000</v>
      </c>
      <c r="H2486" s="64"/>
      <c r="I2486" s="64"/>
      <c r="J2486" s="91">
        <v>19582.439999999999</v>
      </c>
      <c r="K2486" s="18">
        <f t="shared" si="460"/>
        <v>2268417.56</v>
      </c>
      <c r="L2486" s="19">
        <f t="shared" si="461"/>
        <v>11745067</v>
      </c>
      <c r="M2486" s="20"/>
      <c r="N2486" s="20"/>
      <c r="O2486" s="81"/>
      <c r="P2486" s="55">
        <v>1031445231</v>
      </c>
      <c r="Q2486" s="97">
        <v>44013</v>
      </c>
      <c r="R2486" s="14">
        <v>114500</v>
      </c>
      <c r="S2486" s="14">
        <v>146500</v>
      </c>
    </row>
    <row r="2487" spans="2:20" ht="12.75" hidden="1" customHeight="1" x14ac:dyDescent="0.25">
      <c r="B2487" s="89">
        <v>44076.083333333336</v>
      </c>
      <c r="C2487" s="90" t="s">
        <v>2351</v>
      </c>
      <c r="D2487" s="34"/>
      <c r="E2487" s="102">
        <v>2288000</v>
      </c>
      <c r="F2487" s="37"/>
      <c r="G2487" s="37">
        <f t="shared" si="459"/>
        <v>2288000</v>
      </c>
      <c r="H2487" s="64"/>
      <c r="I2487" s="64"/>
      <c r="J2487" s="91">
        <v>19582.439999999999</v>
      </c>
      <c r="K2487" s="18">
        <f t="shared" si="460"/>
        <v>2268417.56</v>
      </c>
      <c r="L2487" s="19">
        <f t="shared" si="461"/>
        <v>9457067</v>
      </c>
      <c r="M2487" s="20"/>
      <c r="N2487" s="20"/>
      <c r="O2487" s="81"/>
      <c r="P2487" s="55">
        <v>1031794290</v>
      </c>
      <c r="Q2487" s="97">
        <v>44044</v>
      </c>
      <c r="R2487" s="14">
        <v>114500</v>
      </c>
      <c r="S2487" s="14">
        <v>146500</v>
      </c>
    </row>
    <row r="2488" spans="2:20" ht="12.75" hidden="1" customHeight="1" x14ac:dyDescent="0.25">
      <c r="B2488" s="89">
        <v>44112.083333333336</v>
      </c>
      <c r="C2488" s="90" t="s">
        <v>2352</v>
      </c>
      <c r="D2488" s="34"/>
      <c r="E2488" s="102">
        <v>2288000</v>
      </c>
      <c r="F2488" s="37"/>
      <c r="G2488" s="37">
        <f t="shared" si="459"/>
        <v>2288000</v>
      </c>
      <c r="H2488" s="64"/>
      <c r="I2488" s="64"/>
      <c r="J2488" s="91">
        <v>19582.439999999999</v>
      </c>
      <c r="K2488" s="18">
        <f t="shared" si="460"/>
        <v>2268417.56</v>
      </c>
      <c r="L2488" s="19">
        <f t="shared" si="461"/>
        <v>7169067</v>
      </c>
      <c r="M2488" s="20"/>
      <c r="N2488" s="20"/>
      <c r="O2488" s="81"/>
      <c r="P2488" s="55">
        <v>1032631117</v>
      </c>
      <c r="Q2488" s="97">
        <v>44075</v>
      </c>
      <c r="R2488" s="14">
        <v>114500</v>
      </c>
      <c r="S2488" s="14">
        <v>146500</v>
      </c>
    </row>
    <row r="2489" spans="2:20" ht="12.75" hidden="1" customHeight="1" x14ac:dyDescent="0.25">
      <c r="B2489" s="89">
        <v>44144.125</v>
      </c>
      <c r="C2489" s="90" t="s">
        <v>2353</v>
      </c>
      <c r="D2489" s="34"/>
      <c r="E2489" s="102">
        <v>2288000</v>
      </c>
      <c r="F2489" s="37"/>
      <c r="G2489" s="37">
        <f t="shared" si="459"/>
        <v>2288000</v>
      </c>
      <c r="H2489" s="64"/>
      <c r="I2489" s="64"/>
      <c r="J2489" s="91">
        <v>19582.439999999999</v>
      </c>
      <c r="K2489" s="18">
        <f t="shared" si="460"/>
        <v>2268417.56</v>
      </c>
      <c r="L2489" s="19">
        <f t="shared" si="461"/>
        <v>4881067</v>
      </c>
      <c r="M2489" s="20"/>
      <c r="N2489" s="20"/>
      <c r="O2489" s="81"/>
      <c r="P2489" s="55">
        <v>1033979946</v>
      </c>
      <c r="Q2489" s="97">
        <v>44105</v>
      </c>
      <c r="R2489" s="14">
        <v>114500</v>
      </c>
      <c r="S2489" s="14">
        <v>146500</v>
      </c>
      <c r="T2489" s="21"/>
    </row>
    <row r="2490" spans="2:20" ht="12.75" hidden="1" customHeight="1" x14ac:dyDescent="0.25">
      <c r="B2490" s="89">
        <v>44168.125</v>
      </c>
      <c r="C2490" s="90" t="s">
        <v>2354</v>
      </c>
      <c r="D2490" s="34"/>
      <c r="E2490" s="102">
        <v>2288000</v>
      </c>
      <c r="F2490" s="37"/>
      <c r="G2490" s="37">
        <f t="shared" si="459"/>
        <v>2288000</v>
      </c>
      <c r="H2490" s="64"/>
      <c r="I2490" s="64"/>
      <c r="J2490" s="91">
        <v>19582.439999999999</v>
      </c>
      <c r="K2490" s="18">
        <f t="shared" si="460"/>
        <v>2268417.56</v>
      </c>
      <c r="L2490" s="19">
        <f t="shared" si="461"/>
        <v>2593067</v>
      </c>
      <c r="M2490" s="20"/>
      <c r="N2490" s="20"/>
      <c r="O2490" s="81"/>
      <c r="P2490" s="21">
        <v>1034296667</v>
      </c>
      <c r="Q2490" s="98">
        <v>44136</v>
      </c>
      <c r="R2490" s="14">
        <v>114500</v>
      </c>
      <c r="S2490" s="14">
        <v>146500</v>
      </c>
      <c r="T2490" s="21"/>
    </row>
    <row r="2491" spans="2:20" ht="12.75" hidden="1" customHeight="1" x14ac:dyDescent="0.25">
      <c r="B2491" s="89">
        <v>44188.125</v>
      </c>
      <c r="C2491" s="90" t="s">
        <v>2355</v>
      </c>
      <c r="D2491" s="34"/>
      <c r="E2491" s="102">
        <v>2288000</v>
      </c>
      <c r="F2491" s="37"/>
      <c r="G2491" s="37">
        <f t="shared" si="459"/>
        <v>2288000</v>
      </c>
      <c r="H2491" s="64"/>
      <c r="I2491" s="64"/>
      <c r="J2491" s="91">
        <v>19582.439999999999</v>
      </c>
      <c r="K2491" s="18">
        <f t="shared" si="460"/>
        <v>2268417.56</v>
      </c>
      <c r="L2491" s="19">
        <f t="shared" si="461"/>
        <v>305067</v>
      </c>
      <c r="M2491" s="20"/>
      <c r="N2491" s="20"/>
      <c r="O2491" s="81"/>
      <c r="P2491" s="55">
        <v>1034296714</v>
      </c>
      <c r="Q2491" s="97">
        <v>44166</v>
      </c>
      <c r="R2491" s="14">
        <v>114500</v>
      </c>
      <c r="S2491" s="14">
        <v>146500</v>
      </c>
      <c r="T2491" s="21"/>
    </row>
    <row r="2492" spans="2:20" ht="12.75" hidden="1" customHeight="1" x14ac:dyDescent="0.25">
      <c r="B2492" s="89"/>
      <c r="C2492" s="90" t="s">
        <v>2047</v>
      </c>
      <c r="D2492" s="34"/>
      <c r="E2492" s="102">
        <v>305067</v>
      </c>
      <c r="F2492" s="37"/>
      <c r="G2492" s="37">
        <f t="shared" si="459"/>
        <v>305067</v>
      </c>
      <c r="H2492" s="64"/>
      <c r="I2492" s="64"/>
      <c r="J2492" s="91"/>
      <c r="K2492" s="18">
        <f t="shared" si="460"/>
        <v>305067</v>
      </c>
      <c r="L2492" s="19">
        <f t="shared" si="461"/>
        <v>0</v>
      </c>
      <c r="M2492" s="20"/>
      <c r="N2492" s="20"/>
      <c r="O2492" s="81"/>
      <c r="P2492" s="55"/>
      <c r="Q2492" s="97"/>
      <c r="R2492" s="14"/>
      <c r="S2492" s="14"/>
      <c r="T2492" s="21"/>
    </row>
    <row r="2493" spans="2:20" ht="15" hidden="1" x14ac:dyDescent="0.25">
      <c r="B2493" s="9" t="s">
        <v>2356</v>
      </c>
      <c r="C2493" s="10"/>
      <c r="D2493" s="11">
        <v>61726000</v>
      </c>
      <c r="E2493" s="11">
        <f>+D2493</f>
        <v>61726000</v>
      </c>
      <c r="F2493" s="11"/>
      <c r="G2493" s="11"/>
      <c r="H2493" s="11"/>
      <c r="I2493" s="11"/>
      <c r="J2493" s="11"/>
      <c r="K2493" s="11"/>
      <c r="L2493" s="11">
        <f>+D2493</f>
        <v>61726000</v>
      </c>
      <c r="M2493" s="12"/>
      <c r="N2493" s="12"/>
      <c r="P2493" s="55"/>
      <c r="Q2493" s="55"/>
      <c r="R2493" s="14"/>
      <c r="S2493" s="14"/>
      <c r="T2493" s="21"/>
    </row>
    <row r="2494" spans="2:20" ht="12.75" hidden="1" customHeight="1" x14ac:dyDescent="0.25">
      <c r="B2494" s="89">
        <v>43899.083333333336</v>
      </c>
      <c r="C2494" s="90" t="s">
        <v>2357</v>
      </c>
      <c r="D2494" s="34"/>
      <c r="E2494" s="102">
        <v>310667</v>
      </c>
      <c r="F2494" s="37"/>
      <c r="G2494" s="37">
        <f t="shared" ref="G2494:G2506" si="462">+E2494</f>
        <v>310667</v>
      </c>
      <c r="H2494" s="64"/>
      <c r="I2494" s="64"/>
      <c r="J2494" s="91">
        <v>2658.92</v>
      </c>
      <c r="K2494" s="18">
        <f t="shared" ref="K2494:K2506" si="463">+G2494-H2494-I2494-J2494</f>
        <v>308008.08</v>
      </c>
      <c r="L2494" s="19">
        <f t="shared" ref="L2494:L2506" si="464">+L2493-G2494</f>
        <v>61415333</v>
      </c>
      <c r="M2494" s="20"/>
      <c r="N2494" s="20"/>
      <c r="O2494" s="81">
        <f>+L2506-'[1]ANEXO 7 - PPTO VIG 2020'!T46</f>
        <v>0</v>
      </c>
      <c r="P2494" s="55">
        <v>9402868003</v>
      </c>
      <c r="Q2494" s="97">
        <v>43831</v>
      </c>
      <c r="R2494" s="14">
        <v>233000</v>
      </c>
      <c r="S2494" s="14">
        <v>298300</v>
      </c>
      <c r="T2494" s="21"/>
    </row>
    <row r="2495" spans="2:20" ht="12.75" hidden="1" customHeight="1" x14ac:dyDescent="0.25">
      <c r="B2495" s="89">
        <v>43910.083333333336</v>
      </c>
      <c r="C2495" s="90" t="s">
        <v>2358</v>
      </c>
      <c r="D2495" s="34"/>
      <c r="E2495" s="102">
        <v>4660000</v>
      </c>
      <c r="F2495" s="37"/>
      <c r="G2495" s="37">
        <f t="shared" si="462"/>
        <v>4660000</v>
      </c>
      <c r="H2495" s="64"/>
      <c r="I2495" s="64"/>
      <c r="J2495" s="91">
        <v>39883.82</v>
      </c>
      <c r="K2495" s="18">
        <f t="shared" si="463"/>
        <v>4620116.18</v>
      </c>
      <c r="L2495" s="19">
        <f t="shared" si="464"/>
        <v>56755333</v>
      </c>
      <c r="M2495" s="20"/>
      <c r="N2495" s="20"/>
      <c r="O2495" s="81"/>
      <c r="P2495" s="55">
        <v>9403747862</v>
      </c>
      <c r="Q2495" s="97">
        <v>43862</v>
      </c>
      <c r="R2495" s="14">
        <v>233000</v>
      </c>
      <c r="S2495" s="14">
        <v>298300</v>
      </c>
      <c r="T2495" s="21"/>
    </row>
    <row r="2496" spans="2:20" ht="12.75" hidden="1" customHeight="1" x14ac:dyDescent="0.25">
      <c r="B2496" s="89">
        <v>43958.083333333336</v>
      </c>
      <c r="C2496" s="90" t="s">
        <v>2359</v>
      </c>
      <c r="D2496" s="34"/>
      <c r="E2496" s="102">
        <v>4660000</v>
      </c>
      <c r="F2496" s="37"/>
      <c r="G2496" s="37">
        <f t="shared" si="462"/>
        <v>4660000</v>
      </c>
      <c r="H2496" s="64"/>
      <c r="I2496" s="64"/>
      <c r="J2496" s="91">
        <v>39883.82</v>
      </c>
      <c r="K2496" s="18">
        <f t="shared" si="463"/>
        <v>4620116.18</v>
      </c>
      <c r="L2496" s="19">
        <f t="shared" si="464"/>
        <v>52095333</v>
      </c>
      <c r="M2496" s="20"/>
      <c r="N2496" s="20"/>
      <c r="O2496" s="81"/>
      <c r="P2496" s="55">
        <v>9404551687</v>
      </c>
      <c r="Q2496" s="97">
        <v>43891</v>
      </c>
      <c r="R2496" s="14">
        <v>233000</v>
      </c>
      <c r="S2496" s="14">
        <v>298300</v>
      </c>
      <c r="T2496" s="21"/>
    </row>
    <row r="2497" spans="2:20" ht="12.75" hidden="1" customHeight="1" x14ac:dyDescent="0.25">
      <c r="B2497" s="89">
        <v>44000.083333333336</v>
      </c>
      <c r="C2497" s="90" t="s">
        <v>2360</v>
      </c>
      <c r="D2497" s="34"/>
      <c r="E2497" s="102">
        <v>4660000</v>
      </c>
      <c r="F2497" s="37"/>
      <c r="G2497" s="37">
        <f t="shared" si="462"/>
        <v>4660000</v>
      </c>
      <c r="H2497" s="64"/>
      <c r="I2497" s="64"/>
      <c r="J2497" s="91">
        <v>42224.63</v>
      </c>
      <c r="K2497" s="18">
        <f t="shared" si="463"/>
        <v>4617775.37</v>
      </c>
      <c r="L2497" s="19">
        <f t="shared" si="464"/>
        <v>47435333</v>
      </c>
      <c r="M2497" s="20"/>
      <c r="N2497" s="20"/>
      <c r="O2497" s="81"/>
      <c r="P2497" s="55">
        <v>9406057446</v>
      </c>
      <c r="Q2497" s="97">
        <v>43922</v>
      </c>
      <c r="R2497" s="14">
        <v>233000</v>
      </c>
      <c r="S2497" s="14">
        <v>56000</v>
      </c>
      <c r="T2497" s="21"/>
    </row>
    <row r="2498" spans="2:20" ht="12.75" hidden="1" customHeight="1" x14ac:dyDescent="0.25">
      <c r="B2498" s="89">
        <v>44025.083333333336</v>
      </c>
      <c r="C2498" s="90" t="s">
        <v>2361</v>
      </c>
      <c r="D2498" s="34"/>
      <c r="E2498" s="102">
        <v>4660000</v>
      </c>
      <c r="F2498" s="37"/>
      <c r="G2498" s="37">
        <f t="shared" si="462"/>
        <v>4660000</v>
      </c>
      <c r="H2498" s="64"/>
      <c r="I2498" s="64"/>
      <c r="J2498" s="91">
        <v>42224.63</v>
      </c>
      <c r="K2498" s="18">
        <f t="shared" si="463"/>
        <v>4617775.37</v>
      </c>
      <c r="L2498" s="19">
        <f t="shared" si="464"/>
        <v>42775333</v>
      </c>
      <c r="M2498" s="20"/>
      <c r="N2498" s="20"/>
      <c r="O2498" s="81"/>
      <c r="P2498" s="55">
        <v>9406934561</v>
      </c>
      <c r="Q2498" s="97">
        <v>43952</v>
      </c>
      <c r="R2498" s="14">
        <v>233000</v>
      </c>
      <c r="S2498" s="14">
        <v>56000</v>
      </c>
      <c r="T2498" s="21"/>
    </row>
    <row r="2499" spans="2:20" ht="12.75" hidden="1" customHeight="1" x14ac:dyDescent="0.25">
      <c r="B2499" s="89">
        <v>44039.083333333336</v>
      </c>
      <c r="C2499" s="90" t="s">
        <v>2362</v>
      </c>
      <c r="D2499" s="34"/>
      <c r="E2499" s="102">
        <v>4660000</v>
      </c>
      <c r="F2499" s="37"/>
      <c r="G2499" s="37">
        <f t="shared" si="462"/>
        <v>4660000</v>
      </c>
      <c r="H2499" s="64"/>
      <c r="I2499" s="64"/>
      <c r="J2499" s="91">
        <v>39883.82</v>
      </c>
      <c r="K2499" s="18">
        <f t="shared" si="463"/>
        <v>4620116.18</v>
      </c>
      <c r="L2499" s="19">
        <f t="shared" si="464"/>
        <v>38115333</v>
      </c>
      <c r="M2499" s="20"/>
      <c r="N2499" s="20"/>
      <c r="O2499" s="81"/>
      <c r="P2499" s="55">
        <v>9406996879</v>
      </c>
      <c r="Q2499" s="97">
        <v>43983</v>
      </c>
      <c r="R2499" s="14">
        <v>233000</v>
      </c>
      <c r="S2499" s="14">
        <v>298300</v>
      </c>
      <c r="T2499" s="21"/>
    </row>
    <row r="2500" spans="2:20" ht="12.75" hidden="1" customHeight="1" x14ac:dyDescent="0.25">
      <c r="B2500" s="89">
        <v>44088.083333333336</v>
      </c>
      <c r="C2500" s="90" t="s">
        <v>2363</v>
      </c>
      <c r="D2500" s="34"/>
      <c r="E2500" s="102">
        <v>4660000</v>
      </c>
      <c r="F2500" s="37"/>
      <c r="G2500" s="37">
        <f t="shared" si="462"/>
        <v>4660000</v>
      </c>
      <c r="H2500" s="64"/>
      <c r="I2500" s="64"/>
      <c r="J2500" s="91">
        <v>39883.82</v>
      </c>
      <c r="K2500" s="18">
        <f t="shared" si="463"/>
        <v>4620116.18</v>
      </c>
      <c r="L2500" s="19">
        <f t="shared" si="464"/>
        <v>33455333</v>
      </c>
      <c r="M2500" s="20"/>
      <c r="N2500" s="20"/>
      <c r="O2500" s="81"/>
      <c r="P2500" s="55">
        <v>9408070736</v>
      </c>
      <c r="Q2500" s="97">
        <v>44013</v>
      </c>
      <c r="R2500" s="14">
        <v>233000</v>
      </c>
      <c r="S2500" s="14">
        <v>298300</v>
      </c>
      <c r="T2500" s="21"/>
    </row>
    <row r="2501" spans="2:20" ht="12.75" hidden="1" customHeight="1" x14ac:dyDescent="0.25">
      <c r="B2501" s="89">
        <v>44123.083333333336</v>
      </c>
      <c r="C2501" s="90" t="s">
        <v>2364</v>
      </c>
      <c r="D2501" s="34"/>
      <c r="E2501" s="102">
        <v>4660000</v>
      </c>
      <c r="F2501" s="37"/>
      <c r="G2501" s="37">
        <f t="shared" si="462"/>
        <v>4660000</v>
      </c>
      <c r="H2501" s="64"/>
      <c r="I2501" s="64"/>
      <c r="J2501" s="91">
        <v>39883.82</v>
      </c>
      <c r="K2501" s="18">
        <f t="shared" si="463"/>
        <v>4620116.18</v>
      </c>
      <c r="L2501" s="19">
        <f t="shared" si="464"/>
        <v>28795333</v>
      </c>
      <c r="M2501" s="20"/>
      <c r="N2501" s="20"/>
      <c r="O2501" s="81"/>
      <c r="P2501" s="55">
        <v>9409080135</v>
      </c>
      <c r="Q2501" s="97">
        <v>44044</v>
      </c>
      <c r="R2501" s="14">
        <v>233000</v>
      </c>
      <c r="S2501" s="14">
        <v>298300</v>
      </c>
      <c r="T2501" s="21"/>
    </row>
    <row r="2502" spans="2:20" ht="12.75" hidden="1" customHeight="1" x14ac:dyDescent="0.25">
      <c r="B2502" s="89">
        <v>44153.125</v>
      </c>
      <c r="C2502" s="90" t="s">
        <v>2365</v>
      </c>
      <c r="D2502" s="34"/>
      <c r="E2502" s="102">
        <v>4660000</v>
      </c>
      <c r="F2502" s="37"/>
      <c r="G2502" s="37">
        <f t="shared" si="462"/>
        <v>4660000</v>
      </c>
      <c r="H2502" s="64"/>
      <c r="I2502" s="64"/>
      <c r="J2502" s="91">
        <v>39883.82</v>
      </c>
      <c r="K2502" s="18">
        <f t="shared" si="463"/>
        <v>4620116.18</v>
      </c>
      <c r="L2502" s="19">
        <f t="shared" si="464"/>
        <v>24135333</v>
      </c>
      <c r="M2502" s="20"/>
      <c r="N2502" s="20"/>
      <c r="O2502" s="81"/>
      <c r="P2502" s="55">
        <v>9411234095</v>
      </c>
      <c r="Q2502" s="97">
        <v>44075</v>
      </c>
      <c r="R2502" s="14">
        <v>233000</v>
      </c>
      <c r="S2502" s="14">
        <v>298300</v>
      </c>
      <c r="T2502" s="21"/>
    </row>
    <row r="2503" spans="2:20" ht="12.75" hidden="1" customHeight="1" x14ac:dyDescent="0.25">
      <c r="B2503" s="89">
        <v>44182.125</v>
      </c>
      <c r="C2503" s="90" t="s">
        <v>2366</v>
      </c>
      <c r="D2503" s="34"/>
      <c r="E2503" s="102">
        <v>4660000</v>
      </c>
      <c r="F2503" s="37"/>
      <c r="G2503" s="37">
        <f t="shared" si="462"/>
        <v>4660000</v>
      </c>
      <c r="H2503" s="64"/>
      <c r="I2503" s="64"/>
      <c r="J2503" s="91">
        <v>39883.82</v>
      </c>
      <c r="K2503" s="18">
        <f t="shared" si="463"/>
        <v>4620116.18</v>
      </c>
      <c r="L2503" s="19">
        <f t="shared" si="464"/>
        <v>19475333</v>
      </c>
      <c r="M2503" s="20"/>
      <c r="N2503" s="20"/>
      <c r="O2503" s="81"/>
      <c r="P2503" s="55">
        <v>9412333836</v>
      </c>
      <c r="Q2503" s="97">
        <v>44105</v>
      </c>
      <c r="R2503" s="14">
        <v>233000</v>
      </c>
      <c r="S2503" s="14">
        <v>298300</v>
      </c>
      <c r="T2503" s="21"/>
    </row>
    <row r="2504" spans="2:20" ht="12.75" hidden="1" customHeight="1" x14ac:dyDescent="0.25">
      <c r="B2504" s="89">
        <v>44182.125</v>
      </c>
      <c r="C2504" s="90" t="s">
        <v>2367</v>
      </c>
      <c r="D2504" s="34"/>
      <c r="E2504" s="102">
        <v>4660000</v>
      </c>
      <c r="F2504" s="37"/>
      <c r="G2504" s="37">
        <f t="shared" si="462"/>
        <v>4660000</v>
      </c>
      <c r="H2504" s="64"/>
      <c r="I2504" s="64"/>
      <c r="J2504" s="91">
        <v>39883.82</v>
      </c>
      <c r="K2504" s="18">
        <f t="shared" si="463"/>
        <v>4620116.18</v>
      </c>
      <c r="L2504" s="19">
        <f t="shared" si="464"/>
        <v>14815333</v>
      </c>
      <c r="M2504" s="20"/>
      <c r="N2504" s="20"/>
      <c r="O2504" s="81"/>
      <c r="P2504" s="55">
        <v>9413488650</v>
      </c>
      <c r="Q2504" s="97">
        <v>44136</v>
      </c>
      <c r="R2504" s="14">
        <v>233000</v>
      </c>
      <c r="S2504" s="14">
        <v>298300</v>
      </c>
      <c r="T2504" s="21"/>
    </row>
    <row r="2505" spans="2:20" ht="12.75" hidden="1" customHeight="1" x14ac:dyDescent="0.25">
      <c r="B2505" s="89">
        <v>44193.125</v>
      </c>
      <c r="C2505" s="90" t="s">
        <v>2368</v>
      </c>
      <c r="D2505" s="34"/>
      <c r="E2505" s="102">
        <v>4660000</v>
      </c>
      <c r="F2505" s="37"/>
      <c r="G2505" s="37">
        <f t="shared" si="462"/>
        <v>4660000</v>
      </c>
      <c r="H2505" s="64"/>
      <c r="I2505" s="64"/>
      <c r="J2505" s="91">
        <v>39883.82</v>
      </c>
      <c r="K2505" s="18">
        <f t="shared" si="463"/>
        <v>4620116.18</v>
      </c>
      <c r="L2505" s="19">
        <f t="shared" si="464"/>
        <v>10155333</v>
      </c>
      <c r="M2505" s="20"/>
      <c r="N2505" s="20"/>
      <c r="O2505" s="81"/>
      <c r="P2505" s="55">
        <v>9413840909</v>
      </c>
      <c r="Q2505" s="97">
        <v>44166</v>
      </c>
      <c r="R2505" s="14">
        <v>233000</v>
      </c>
      <c r="S2505" s="14">
        <v>298300</v>
      </c>
      <c r="T2505" s="21"/>
    </row>
    <row r="2506" spans="2:20" ht="12.75" hidden="1" customHeight="1" x14ac:dyDescent="0.25">
      <c r="B2506" s="89"/>
      <c r="C2506" s="90" t="s">
        <v>2047</v>
      </c>
      <c r="D2506" s="34"/>
      <c r="E2506" s="102">
        <v>10155333</v>
      </c>
      <c r="F2506" s="37"/>
      <c r="G2506" s="37">
        <f t="shared" si="462"/>
        <v>10155333</v>
      </c>
      <c r="H2506" s="64"/>
      <c r="I2506" s="64"/>
      <c r="J2506" s="91"/>
      <c r="K2506" s="18">
        <f t="shared" si="463"/>
        <v>10155333</v>
      </c>
      <c r="L2506" s="19">
        <f t="shared" si="464"/>
        <v>0</v>
      </c>
      <c r="M2506" s="20"/>
      <c r="N2506" s="20"/>
      <c r="O2506" s="81"/>
      <c r="P2506" s="55"/>
      <c r="Q2506" s="97"/>
      <c r="R2506" s="14"/>
      <c r="S2506" s="14"/>
      <c r="T2506" s="21"/>
    </row>
    <row r="2507" spans="2:20" ht="15" hidden="1" x14ac:dyDescent="0.25">
      <c r="B2507" s="9" t="s">
        <v>2369</v>
      </c>
      <c r="C2507" s="10"/>
      <c r="D2507" s="11">
        <v>98800000</v>
      </c>
      <c r="E2507" s="11">
        <f>+D2507</f>
        <v>98800000</v>
      </c>
      <c r="F2507" s="11"/>
      <c r="G2507" s="11"/>
      <c r="H2507" s="11"/>
      <c r="I2507" s="11"/>
      <c r="J2507" s="11"/>
      <c r="K2507" s="11"/>
      <c r="L2507" s="11">
        <f>+D2507</f>
        <v>98800000</v>
      </c>
      <c r="M2507" s="12"/>
      <c r="N2507" s="12"/>
      <c r="P2507" s="55"/>
      <c r="Q2507" s="55"/>
      <c r="R2507" s="14"/>
      <c r="S2507" s="14"/>
      <c r="T2507" s="21"/>
    </row>
    <row r="2508" spans="2:20" ht="12.75" hidden="1" customHeight="1" x14ac:dyDescent="0.25">
      <c r="B2508" s="89">
        <v>43900.083333333336</v>
      </c>
      <c r="C2508" s="90" t="s">
        <v>2370</v>
      </c>
      <c r="D2508" s="34"/>
      <c r="E2508" s="102">
        <v>266667</v>
      </c>
      <c r="F2508" s="37"/>
      <c r="G2508" s="37">
        <f t="shared" ref="G2508:G2520" si="465">+E2508</f>
        <v>266667</v>
      </c>
      <c r="H2508" s="64"/>
      <c r="I2508" s="64"/>
      <c r="J2508" s="91">
        <v>2282.34</v>
      </c>
      <c r="K2508" s="18">
        <f t="shared" ref="K2508:K2520" si="466">+G2508-H2508-I2508-J2508</f>
        <v>264384.65999999997</v>
      </c>
      <c r="L2508" s="19">
        <f t="shared" ref="L2508:L2520" si="467">+L2507-G2508</f>
        <v>98533333</v>
      </c>
      <c r="M2508" s="20"/>
      <c r="N2508" s="20"/>
      <c r="O2508" s="81">
        <f>+L2520-'[1]ANEXO 7 - PPTO VIG 2020'!T47</f>
        <v>0</v>
      </c>
      <c r="P2508" s="55">
        <v>4321327298</v>
      </c>
      <c r="Q2508" s="97">
        <v>43831</v>
      </c>
      <c r="R2508" s="14">
        <v>110200</v>
      </c>
      <c r="S2508" s="14">
        <v>141100</v>
      </c>
      <c r="T2508" s="21"/>
    </row>
    <row r="2509" spans="2:20" ht="12.75" hidden="1" customHeight="1" x14ac:dyDescent="0.25">
      <c r="B2509" s="89">
        <v>43900.083333333336</v>
      </c>
      <c r="C2509" s="90" t="s">
        <v>2371</v>
      </c>
      <c r="D2509" s="34"/>
      <c r="E2509" s="102">
        <v>8000000</v>
      </c>
      <c r="F2509" s="37"/>
      <c r="G2509" s="37">
        <f t="shared" si="465"/>
        <v>8000000</v>
      </c>
      <c r="H2509" s="64"/>
      <c r="I2509" s="91">
        <v>250939.66</v>
      </c>
      <c r="J2509" s="91">
        <v>68470.080000000002</v>
      </c>
      <c r="K2509" s="18">
        <f t="shared" si="466"/>
        <v>7680590.2599999998</v>
      </c>
      <c r="L2509" s="19">
        <f t="shared" si="467"/>
        <v>90533333</v>
      </c>
      <c r="M2509" s="20"/>
      <c r="N2509" s="20"/>
      <c r="O2509" s="81"/>
      <c r="P2509" s="113">
        <v>4326195284</v>
      </c>
      <c r="Q2509" s="114">
        <v>43862</v>
      </c>
      <c r="R2509" s="115">
        <v>400000</v>
      </c>
      <c r="S2509" s="115">
        <v>512000</v>
      </c>
      <c r="T2509" s="21"/>
    </row>
    <row r="2510" spans="2:20" ht="12.75" hidden="1" customHeight="1" x14ac:dyDescent="0.25">
      <c r="B2510" s="89">
        <v>43936.083333333336</v>
      </c>
      <c r="C2510" s="90" t="s">
        <v>2372</v>
      </c>
      <c r="D2510" s="34"/>
      <c r="E2510" s="102">
        <v>8000000</v>
      </c>
      <c r="F2510" s="37"/>
      <c r="G2510" s="37">
        <f t="shared" si="465"/>
        <v>8000000</v>
      </c>
      <c r="H2510" s="64"/>
      <c r="I2510" s="91">
        <v>372575.98</v>
      </c>
      <c r="J2510" s="91">
        <v>77280</v>
      </c>
      <c r="K2510" s="18">
        <f t="shared" si="466"/>
        <v>7550144.0199999996</v>
      </c>
      <c r="L2510" s="19">
        <f t="shared" si="467"/>
        <v>82533333</v>
      </c>
      <c r="M2510" s="20"/>
      <c r="N2510" s="20"/>
      <c r="O2510" s="81"/>
      <c r="P2510" s="113">
        <v>4326195284</v>
      </c>
      <c r="Q2510" s="114">
        <v>43862</v>
      </c>
      <c r="R2510" s="115">
        <v>400000</v>
      </c>
      <c r="S2510" s="115">
        <v>512000</v>
      </c>
      <c r="T2510" s="21"/>
    </row>
    <row r="2511" spans="2:20" ht="12.75" hidden="1" customHeight="1" x14ac:dyDescent="0.25">
      <c r="B2511" s="89">
        <v>43977.083333333336</v>
      </c>
      <c r="C2511" s="90" t="s">
        <v>2373</v>
      </c>
      <c r="D2511" s="34"/>
      <c r="E2511" s="102">
        <v>8000000</v>
      </c>
      <c r="F2511" s="37"/>
      <c r="G2511" s="37">
        <f t="shared" si="465"/>
        <v>8000000</v>
      </c>
      <c r="H2511" s="64"/>
      <c r="I2511" s="91">
        <v>250939.66</v>
      </c>
      <c r="J2511" s="91">
        <v>68470.080000000002</v>
      </c>
      <c r="K2511" s="18">
        <f t="shared" si="466"/>
        <v>7680590.2599999998</v>
      </c>
      <c r="L2511" s="19">
        <f t="shared" si="467"/>
        <v>74533333</v>
      </c>
      <c r="M2511" s="20"/>
      <c r="N2511" s="20"/>
      <c r="O2511" s="81"/>
      <c r="P2511" s="55">
        <v>4333360150</v>
      </c>
      <c r="Q2511" s="97">
        <v>43891</v>
      </c>
      <c r="R2511" s="14">
        <v>400000</v>
      </c>
      <c r="S2511" s="14">
        <v>512000</v>
      </c>
      <c r="T2511" s="21"/>
    </row>
    <row r="2512" spans="2:20" ht="12.75" hidden="1" customHeight="1" x14ac:dyDescent="0.25">
      <c r="B2512" s="89">
        <v>44006.083333333336</v>
      </c>
      <c r="C2512" s="90" t="s">
        <v>2374</v>
      </c>
      <c r="D2512" s="34"/>
      <c r="E2512" s="102">
        <v>8000000</v>
      </c>
      <c r="F2512" s="37"/>
      <c r="G2512" s="37">
        <f t="shared" si="465"/>
        <v>8000000</v>
      </c>
      <c r="H2512" s="64"/>
      <c r="I2512" s="91">
        <v>250939.66</v>
      </c>
      <c r="J2512" s="91">
        <v>68470.080000000002</v>
      </c>
      <c r="K2512" s="18">
        <f t="shared" si="466"/>
        <v>7680590.2599999998</v>
      </c>
      <c r="L2512" s="19">
        <f t="shared" si="467"/>
        <v>66533333</v>
      </c>
      <c r="M2512" s="20"/>
      <c r="N2512" s="20"/>
      <c r="O2512" s="81"/>
      <c r="P2512" s="55">
        <v>4339477696</v>
      </c>
      <c r="Q2512" s="97">
        <v>43922</v>
      </c>
      <c r="R2512" s="14">
        <v>400000</v>
      </c>
      <c r="S2512" s="14">
        <v>512000</v>
      </c>
      <c r="T2512" s="21"/>
    </row>
    <row r="2513" spans="2:20" ht="12.75" hidden="1" customHeight="1" x14ac:dyDescent="0.25">
      <c r="B2513" s="89">
        <v>44020.083333333336</v>
      </c>
      <c r="C2513" s="90" t="s">
        <v>2375</v>
      </c>
      <c r="D2513" s="34"/>
      <c r="E2513" s="102">
        <v>8000000</v>
      </c>
      <c r="F2513" s="37"/>
      <c r="G2513" s="37">
        <f t="shared" si="465"/>
        <v>8000000</v>
      </c>
      <c r="H2513" s="64"/>
      <c r="I2513" s="91">
        <v>310219.65000000002</v>
      </c>
      <c r="J2513" s="91">
        <v>72488.639999999999</v>
      </c>
      <c r="K2513" s="18">
        <f t="shared" si="466"/>
        <v>7617291.71</v>
      </c>
      <c r="L2513" s="19">
        <f t="shared" si="467"/>
        <v>58533333</v>
      </c>
      <c r="M2513" s="20"/>
      <c r="N2513" s="20"/>
      <c r="O2513" s="81"/>
      <c r="P2513" s="55">
        <v>4343276379</v>
      </c>
      <c r="Q2513" s="97">
        <v>43952</v>
      </c>
      <c r="R2513" s="14">
        <v>400000</v>
      </c>
      <c r="S2513" s="14">
        <v>96000</v>
      </c>
      <c r="T2513" s="21"/>
    </row>
    <row r="2514" spans="2:20" ht="12.75" hidden="1" customHeight="1" x14ac:dyDescent="0.25">
      <c r="B2514" s="89">
        <v>44056.083333333336</v>
      </c>
      <c r="C2514" s="90" t="s">
        <v>2376</v>
      </c>
      <c r="D2514" s="34"/>
      <c r="E2514" s="102">
        <v>8000000</v>
      </c>
      <c r="F2514" s="37"/>
      <c r="G2514" s="37">
        <f t="shared" si="465"/>
        <v>8000000</v>
      </c>
      <c r="H2514" s="64"/>
      <c r="I2514" s="91">
        <v>250939.66</v>
      </c>
      <c r="J2514" s="91">
        <v>68470.080000000002</v>
      </c>
      <c r="K2514" s="18">
        <f t="shared" si="466"/>
        <v>7680590.2599999998</v>
      </c>
      <c r="L2514" s="19">
        <f t="shared" si="467"/>
        <v>50533333</v>
      </c>
      <c r="M2514" s="20"/>
      <c r="N2514" s="20"/>
      <c r="O2514" s="81"/>
      <c r="P2514" s="55">
        <v>4348140130</v>
      </c>
      <c r="Q2514" s="97">
        <v>43983</v>
      </c>
      <c r="R2514" s="14">
        <v>400000</v>
      </c>
      <c r="S2514" s="14">
        <v>512000</v>
      </c>
      <c r="T2514" s="21"/>
    </row>
    <row r="2515" spans="2:20" ht="12.75" hidden="1" customHeight="1" x14ac:dyDescent="0.25">
      <c r="B2515" s="89">
        <v>44084.083333333336</v>
      </c>
      <c r="C2515" s="90" t="s">
        <v>2377</v>
      </c>
      <c r="D2515" s="34"/>
      <c r="E2515" s="102">
        <v>8000000</v>
      </c>
      <c r="F2515" s="37"/>
      <c r="G2515" s="37">
        <f t="shared" si="465"/>
        <v>8000000</v>
      </c>
      <c r="H2515" s="64"/>
      <c r="I2515" s="91">
        <v>250939.66</v>
      </c>
      <c r="J2515" s="91">
        <v>68470.080000000002</v>
      </c>
      <c r="K2515" s="18">
        <f t="shared" si="466"/>
        <v>7680590.2599999998</v>
      </c>
      <c r="L2515" s="19">
        <f t="shared" si="467"/>
        <v>42533333</v>
      </c>
      <c r="M2515" s="20"/>
      <c r="N2515" s="20"/>
      <c r="O2515" s="81"/>
      <c r="P2515" s="55">
        <v>4348241492</v>
      </c>
      <c r="Q2515" s="97">
        <v>44013</v>
      </c>
      <c r="R2515" s="14">
        <v>400000</v>
      </c>
      <c r="S2515" s="14">
        <v>512000</v>
      </c>
      <c r="T2515" s="21"/>
    </row>
    <row r="2516" spans="2:20" ht="12.75" hidden="1" customHeight="1" x14ac:dyDescent="0.25">
      <c r="B2516" s="89">
        <v>44113.083333333336</v>
      </c>
      <c r="C2516" s="90" t="s">
        <v>2378</v>
      </c>
      <c r="D2516" s="34"/>
      <c r="E2516" s="102">
        <v>8000000</v>
      </c>
      <c r="F2516" s="37"/>
      <c r="G2516" s="37">
        <f t="shared" si="465"/>
        <v>8000000</v>
      </c>
      <c r="H2516" s="64"/>
      <c r="I2516" s="91">
        <v>250939.66</v>
      </c>
      <c r="J2516" s="91">
        <v>68470.080000000002</v>
      </c>
      <c r="K2516" s="18">
        <f t="shared" si="466"/>
        <v>7680590.2599999998</v>
      </c>
      <c r="L2516" s="19">
        <f t="shared" si="467"/>
        <v>34533333</v>
      </c>
      <c r="M2516" s="20"/>
      <c r="N2516" s="20"/>
      <c r="O2516" s="81"/>
      <c r="P2516" s="55">
        <v>43555562548</v>
      </c>
      <c r="Q2516" s="97">
        <v>44044</v>
      </c>
      <c r="R2516" s="14">
        <v>400000</v>
      </c>
      <c r="S2516" s="14">
        <v>512000</v>
      </c>
      <c r="T2516" s="21"/>
    </row>
    <row r="2517" spans="2:20" ht="12.75" hidden="1" customHeight="1" x14ac:dyDescent="0.25">
      <c r="B2517" s="89">
        <v>44153.125</v>
      </c>
      <c r="C2517" s="90" t="s">
        <v>2379</v>
      </c>
      <c r="D2517" s="34"/>
      <c r="E2517" s="102">
        <v>8000000</v>
      </c>
      <c r="F2517" s="37"/>
      <c r="G2517" s="37">
        <f t="shared" si="465"/>
        <v>8000000</v>
      </c>
      <c r="H2517" s="64"/>
      <c r="I2517" s="91">
        <v>250939.66</v>
      </c>
      <c r="J2517" s="91">
        <v>68470.080000000002</v>
      </c>
      <c r="K2517" s="18">
        <f t="shared" si="466"/>
        <v>7680590.2599999998</v>
      </c>
      <c r="L2517" s="19">
        <f t="shared" si="467"/>
        <v>26533333</v>
      </c>
      <c r="M2517" s="20"/>
      <c r="N2517" s="20"/>
      <c r="O2517" s="81"/>
      <c r="P2517" s="55">
        <v>4359682758</v>
      </c>
      <c r="Q2517" s="97">
        <v>44075</v>
      </c>
      <c r="R2517" s="14">
        <v>400000</v>
      </c>
      <c r="S2517" s="14">
        <v>512000</v>
      </c>
      <c r="T2517" s="21"/>
    </row>
    <row r="2518" spans="2:20" ht="12.75" hidden="1" customHeight="1" x14ac:dyDescent="0.25">
      <c r="B2518" s="89">
        <v>44181.125</v>
      </c>
      <c r="C2518" s="90" t="s">
        <v>2380</v>
      </c>
      <c r="D2518" s="34"/>
      <c r="E2518" s="102">
        <v>8000000</v>
      </c>
      <c r="F2518" s="37"/>
      <c r="G2518" s="37">
        <f t="shared" si="465"/>
        <v>8000000</v>
      </c>
      <c r="H2518" s="64"/>
      <c r="I2518" s="91">
        <v>250939.66</v>
      </c>
      <c r="J2518" s="91">
        <v>68470.080000000002</v>
      </c>
      <c r="K2518" s="18">
        <f t="shared" si="466"/>
        <v>7680590.2599999998</v>
      </c>
      <c r="L2518" s="19">
        <f t="shared" si="467"/>
        <v>18533333</v>
      </c>
      <c r="M2518" s="20"/>
      <c r="N2518" s="20"/>
      <c r="O2518" s="81"/>
      <c r="P2518" s="55">
        <v>4365961581</v>
      </c>
      <c r="Q2518" s="97">
        <v>44105</v>
      </c>
      <c r="R2518" s="14">
        <v>400000</v>
      </c>
      <c r="S2518" s="14">
        <v>512000</v>
      </c>
      <c r="T2518" s="21"/>
    </row>
    <row r="2519" spans="2:20" ht="12.75" hidden="1" customHeight="1" x14ac:dyDescent="0.25">
      <c r="B2519" s="89">
        <v>44200.125</v>
      </c>
      <c r="C2519" s="90" t="s">
        <v>2381</v>
      </c>
      <c r="D2519" s="34"/>
      <c r="E2519" s="102">
        <v>8000000</v>
      </c>
      <c r="F2519" s="37"/>
      <c r="G2519" s="37">
        <f t="shared" si="465"/>
        <v>8000000</v>
      </c>
      <c r="H2519" s="64"/>
      <c r="I2519" s="91">
        <v>250939.66</v>
      </c>
      <c r="J2519" s="91">
        <v>68470.080000000002</v>
      </c>
      <c r="K2519" s="18">
        <f t="shared" si="466"/>
        <v>7680590.2599999998</v>
      </c>
      <c r="L2519" s="19">
        <f t="shared" si="467"/>
        <v>10533333</v>
      </c>
      <c r="M2519" s="20"/>
      <c r="N2519" s="20"/>
      <c r="O2519" s="81"/>
      <c r="P2519" s="55">
        <v>4368224764</v>
      </c>
      <c r="Q2519" s="97">
        <v>44136</v>
      </c>
      <c r="R2519" s="14">
        <v>400000</v>
      </c>
      <c r="S2519" s="14">
        <v>512000</v>
      </c>
      <c r="T2519" s="21"/>
    </row>
    <row r="2520" spans="2:20" ht="12.75" hidden="1" customHeight="1" x14ac:dyDescent="0.25">
      <c r="B2520" s="89"/>
      <c r="C2520" s="90" t="s">
        <v>2047</v>
      </c>
      <c r="D2520" s="34"/>
      <c r="E2520" s="102">
        <v>10533333</v>
      </c>
      <c r="F2520" s="37"/>
      <c r="G2520" s="37">
        <f t="shared" si="465"/>
        <v>10533333</v>
      </c>
      <c r="H2520" s="64"/>
      <c r="I2520" s="91"/>
      <c r="J2520" s="91"/>
      <c r="K2520" s="18">
        <f t="shared" si="466"/>
        <v>10533333</v>
      </c>
      <c r="L2520" s="19">
        <f t="shared" si="467"/>
        <v>0</v>
      </c>
      <c r="M2520" s="20"/>
      <c r="N2520" s="20"/>
      <c r="O2520" s="81"/>
      <c r="P2520" s="55">
        <v>4368284910</v>
      </c>
      <c r="Q2520" s="97">
        <v>44166</v>
      </c>
      <c r="R2520" s="14">
        <v>400000</v>
      </c>
      <c r="S2520" s="14">
        <v>512000</v>
      </c>
      <c r="T2520" s="21"/>
    </row>
    <row r="2521" spans="2:20" ht="15" hidden="1" x14ac:dyDescent="0.25">
      <c r="B2521" s="9" t="s">
        <v>2382</v>
      </c>
      <c r="C2521" s="10"/>
      <c r="D2521" s="11">
        <v>40404000</v>
      </c>
      <c r="E2521" s="11">
        <f>+D2521</f>
        <v>40404000</v>
      </c>
      <c r="F2521" s="11"/>
      <c r="G2521" s="11"/>
      <c r="H2521" s="11"/>
      <c r="I2521" s="11"/>
      <c r="J2521" s="11"/>
      <c r="K2521" s="11"/>
      <c r="L2521" s="11">
        <f>+D2521</f>
        <v>40404000</v>
      </c>
      <c r="M2521" s="12"/>
      <c r="N2521" s="12"/>
      <c r="P2521" s="55"/>
      <c r="Q2521" s="55"/>
      <c r="R2521" s="14"/>
      <c r="S2521" s="14"/>
      <c r="T2521" s="21"/>
    </row>
    <row r="2522" spans="2:20" ht="12.75" hidden="1" customHeight="1" x14ac:dyDescent="0.25">
      <c r="B2522" s="89">
        <v>43910.083333333336</v>
      </c>
      <c r="C2522" s="90" t="s">
        <v>2383</v>
      </c>
      <c r="D2522" s="34"/>
      <c r="E2522" s="102">
        <v>121333</v>
      </c>
      <c r="F2522" s="37"/>
      <c r="G2522" s="37">
        <f t="shared" ref="G2522:G2534" si="468">+E2522</f>
        <v>121333</v>
      </c>
      <c r="H2522" s="64"/>
      <c r="I2522" s="64"/>
      <c r="J2522" s="91">
        <v>1038.46</v>
      </c>
      <c r="K2522" s="18">
        <f t="shared" ref="K2522:K2534" si="469">+G2522-H2522-I2522-J2522</f>
        <v>120294.54</v>
      </c>
      <c r="L2522" s="19">
        <f t="shared" ref="L2522:L2534" si="470">+L2521-G2522</f>
        <v>40282667</v>
      </c>
      <c r="M2522" s="20"/>
      <c r="N2522" s="20"/>
      <c r="O2522" s="81">
        <f>+L2534-'[1]ANEXO 7 - PPTO VIG 2020'!T63</f>
        <v>0</v>
      </c>
      <c r="P2522" s="55">
        <v>1724898067</v>
      </c>
      <c r="Q2522" s="97">
        <v>43831</v>
      </c>
      <c r="R2522" s="14">
        <v>207200</v>
      </c>
      <c r="S2522" s="14">
        <v>265200</v>
      </c>
      <c r="T2522" s="21"/>
    </row>
    <row r="2523" spans="2:20" ht="15.75" hidden="1" customHeight="1" x14ac:dyDescent="0.25">
      <c r="B2523" s="89">
        <v>43910.083333333336</v>
      </c>
      <c r="C2523" s="92" t="s">
        <v>2384</v>
      </c>
      <c r="D2523" s="34"/>
      <c r="E2523" s="102">
        <v>3640000</v>
      </c>
      <c r="F2523" s="37"/>
      <c r="G2523" s="37">
        <f t="shared" si="468"/>
        <v>3640000</v>
      </c>
      <c r="H2523" s="64"/>
      <c r="I2523" s="64"/>
      <c r="J2523" s="91">
        <v>31153.89</v>
      </c>
      <c r="K2523" s="18">
        <f t="shared" si="469"/>
        <v>3608846.11</v>
      </c>
      <c r="L2523" s="19">
        <f t="shared" si="470"/>
        <v>36642667</v>
      </c>
      <c r="M2523" s="20"/>
      <c r="N2523" s="20"/>
      <c r="P2523" s="55">
        <v>1725342941</v>
      </c>
      <c r="Q2523" s="97">
        <v>43862</v>
      </c>
      <c r="R2523" s="14">
        <v>207200</v>
      </c>
      <c r="S2523" s="14">
        <v>265200</v>
      </c>
      <c r="T2523" s="21"/>
    </row>
    <row r="2524" spans="2:20" ht="15.75" hidden="1" customHeight="1" x14ac:dyDescent="0.25">
      <c r="B2524" s="89">
        <v>43937.083333333336</v>
      </c>
      <c r="C2524" s="92" t="s">
        <v>2385</v>
      </c>
      <c r="D2524" s="34"/>
      <c r="E2524" s="102">
        <v>3640000</v>
      </c>
      <c r="F2524" s="37"/>
      <c r="G2524" s="37">
        <f t="shared" si="468"/>
        <v>3640000</v>
      </c>
      <c r="H2524" s="64"/>
      <c r="I2524" s="64"/>
      <c r="J2524" s="91">
        <v>31153.89</v>
      </c>
      <c r="K2524" s="18">
        <f t="shared" si="469"/>
        <v>3608846.11</v>
      </c>
      <c r="L2524" s="19">
        <f t="shared" si="470"/>
        <v>33002667</v>
      </c>
      <c r="M2524" s="20"/>
      <c r="N2524" s="20"/>
      <c r="P2524" s="55">
        <v>1726015073</v>
      </c>
      <c r="Q2524" s="97">
        <v>43891</v>
      </c>
      <c r="R2524" s="14">
        <v>207200</v>
      </c>
      <c r="S2524" s="14">
        <v>265200</v>
      </c>
      <c r="T2524" s="21"/>
    </row>
    <row r="2525" spans="2:20" ht="15.75" hidden="1" customHeight="1" x14ac:dyDescent="0.25">
      <c r="B2525" s="89">
        <v>43959.083333333336</v>
      </c>
      <c r="C2525" s="92" t="s">
        <v>2386</v>
      </c>
      <c r="D2525" s="34"/>
      <c r="E2525" s="102">
        <v>3640000</v>
      </c>
      <c r="F2525" s="37"/>
      <c r="G2525" s="37">
        <f t="shared" si="468"/>
        <v>3640000</v>
      </c>
      <c r="H2525" s="64"/>
      <c r="I2525" s="64"/>
      <c r="J2525" s="91">
        <v>31153.89</v>
      </c>
      <c r="K2525" s="18">
        <f t="shared" si="469"/>
        <v>3608846.11</v>
      </c>
      <c r="L2525" s="19">
        <f t="shared" si="470"/>
        <v>29362667</v>
      </c>
      <c r="M2525" s="20"/>
      <c r="N2525" s="20"/>
      <c r="P2525" s="55">
        <v>1726336732</v>
      </c>
      <c r="Q2525" s="97">
        <v>43922</v>
      </c>
      <c r="R2525" s="14">
        <v>207200</v>
      </c>
      <c r="S2525" s="14">
        <v>265200</v>
      </c>
      <c r="T2525" s="21"/>
    </row>
    <row r="2526" spans="2:20" ht="15.75" hidden="1" customHeight="1" x14ac:dyDescent="0.25">
      <c r="B2526" s="89">
        <v>44006.083333333336</v>
      </c>
      <c r="C2526" s="92" t="s">
        <v>2387</v>
      </c>
      <c r="D2526" s="34"/>
      <c r="E2526" s="102">
        <v>3640000</v>
      </c>
      <c r="F2526" s="37"/>
      <c r="G2526" s="37">
        <f t="shared" si="468"/>
        <v>3640000</v>
      </c>
      <c r="H2526" s="64"/>
      <c r="I2526" s="64"/>
      <c r="J2526" s="91">
        <v>31153.89</v>
      </c>
      <c r="K2526" s="18">
        <f t="shared" si="469"/>
        <v>3608846.11</v>
      </c>
      <c r="L2526" s="19">
        <f t="shared" si="470"/>
        <v>25722667</v>
      </c>
      <c r="M2526" s="20"/>
      <c r="N2526" s="20"/>
      <c r="P2526" s="55">
        <v>1726937450</v>
      </c>
      <c r="Q2526" s="97">
        <v>43952</v>
      </c>
      <c r="R2526" s="14">
        <v>207200</v>
      </c>
      <c r="S2526" s="14">
        <v>265200</v>
      </c>
      <c r="T2526" s="21"/>
    </row>
    <row r="2527" spans="2:20" ht="15.75" hidden="1" customHeight="1" x14ac:dyDescent="0.25">
      <c r="B2527" s="89">
        <v>44013.083333333336</v>
      </c>
      <c r="C2527" s="92" t="s">
        <v>2388</v>
      </c>
      <c r="D2527" s="34"/>
      <c r="E2527" s="102">
        <v>3640000</v>
      </c>
      <c r="F2527" s="37"/>
      <c r="G2527" s="37">
        <f t="shared" si="468"/>
        <v>3640000</v>
      </c>
      <c r="H2527" s="64"/>
      <c r="I2527" s="64"/>
      <c r="J2527" s="91">
        <v>32982.33</v>
      </c>
      <c r="K2527" s="18">
        <f t="shared" si="469"/>
        <v>3607017.67</v>
      </c>
      <c r="L2527" s="19">
        <f t="shared" si="470"/>
        <v>22082667</v>
      </c>
      <c r="M2527" s="20"/>
      <c r="N2527" s="20"/>
      <c r="P2527" s="55">
        <v>1727373471</v>
      </c>
      <c r="Q2527" s="97">
        <v>43983</v>
      </c>
      <c r="R2527" s="14">
        <v>207200</v>
      </c>
      <c r="S2527" s="14">
        <v>265200</v>
      </c>
      <c r="T2527" s="21"/>
    </row>
    <row r="2528" spans="2:20" ht="15.75" hidden="1" customHeight="1" x14ac:dyDescent="0.25">
      <c r="B2528" s="89">
        <v>44056.083333333336</v>
      </c>
      <c r="C2528" s="92" t="s">
        <v>2389</v>
      </c>
      <c r="D2528" s="34"/>
      <c r="E2528" s="102">
        <v>3640000</v>
      </c>
      <c r="F2528" s="37"/>
      <c r="G2528" s="37">
        <f t="shared" si="468"/>
        <v>3640000</v>
      </c>
      <c r="H2528" s="64"/>
      <c r="I2528" s="64"/>
      <c r="J2528" s="91">
        <v>31153.89</v>
      </c>
      <c r="K2528" s="18">
        <f t="shared" si="469"/>
        <v>3608846.11</v>
      </c>
      <c r="L2528" s="19">
        <f t="shared" si="470"/>
        <v>18442667</v>
      </c>
      <c r="M2528" s="20"/>
      <c r="N2528" s="20"/>
      <c r="P2528" s="55">
        <v>1727809278</v>
      </c>
      <c r="Q2528" s="97">
        <v>44013</v>
      </c>
      <c r="R2528" s="14">
        <v>207200</v>
      </c>
      <c r="S2528" s="14">
        <v>265200</v>
      </c>
      <c r="T2528" s="21"/>
    </row>
    <row r="2529" spans="2:20" ht="15.75" hidden="1" customHeight="1" x14ac:dyDescent="0.25">
      <c r="B2529" s="89">
        <v>44082.083333333336</v>
      </c>
      <c r="C2529" s="92" t="s">
        <v>2390</v>
      </c>
      <c r="D2529" s="34"/>
      <c r="E2529" s="102">
        <v>3640000</v>
      </c>
      <c r="F2529" s="37"/>
      <c r="G2529" s="37">
        <f t="shared" si="468"/>
        <v>3640000</v>
      </c>
      <c r="H2529" s="64"/>
      <c r="I2529" s="64"/>
      <c r="J2529" s="91">
        <v>31153.89</v>
      </c>
      <c r="K2529" s="18">
        <f t="shared" si="469"/>
        <v>3608846.11</v>
      </c>
      <c r="L2529" s="19">
        <f t="shared" si="470"/>
        <v>14802667</v>
      </c>
      <c r="M2529" s="20"/>
      <c r="N2529" s="20"/>
      <c r="P2529" s="55">
        <v>1728116519</v>
      </c>
      <c r="Q2529" s="97">
        <v>44044</v>
      </c>
      <c r="R2529" s="14">
        <v>207200</v>
      </c>
      <c r="S2529" s="14">
        <v>265200</v>
      </c>
      <c r="T2529" s="21"/>
    </row>
    <row r="2530" spans="2:20" ht="15.75" hidden="1" customHeight="1" x14ac:dyDescent="0.25">
      <c r="B2530" s="89">
        <v>44113.083333333336</v>
      </c>
      <c r="C2530" s="92" t="s">
        <v>2391</v>
      </c>
      <c r="D2530" s="34"/>
      <c r="E2530" s="102">
        <v>3640000</v>
      </c>
      <c r="F2530" s="37"/>
      <c r="G2530" s="37">
        <f t="shared" si="468"/>
        <v>3640000</v>
      </c>
      <c r="H2530" s="64"/>
      <c r="I2530" s="64"/>
      <c r="J2530" s="91">
        <v>31153.89</v>
      </c>
      <c r="K2530" s="18">
        <f t="shared" si="469"/>
        <v>3608846.11</v>
      </c>
      <c r="L2530" s="19">
        <f t="shared" si="470"/>
        <v>11162667</v>
      </c>
      <c r="M2530" s="20"/>
      <c r="N2530" s="20"/>
      <c r="P2530" s="55">
        <v>1728590199</v>
      </c>
      <c r="Q2530" s="97">
        <v>44075</v>
      </c>
      <c r="R2530" s="14">
        <v>207200</v>
      </c>
      <c r="S2530" s="14">
        <v>265200</v>
      </c>
      <c r="T2530" s="21"/>
    </row>
    <row r="2531" spans="2:20" ht="15.75" hidden="1" customHeight="1" x14ac:dyDescent="0.25">
      <c r="B2531" s="89">
        <v>44148.125</v>
      </c>
      <c r="C2531" s="92" t="s">
        <v>2392</v>
      </c>
      <c r="D2531" s="34"/>
      <c r="E2531" s="102">
        <v>3640000</v>
      </c>
      <c r="F2531" s="37"/>
      <c r="G2531" s="37">
        <f t="shared" si="468"/>
        <v>3640000</v>
      </c>
      <c r="H2531" s="64"/>
      <c r="I2531" s="64"/>
      <c r="J2531" s="91">
        <v>31153.89</v>
      </c>
      <c r="K2531" s="18">
        <f t="shared" si="469"/>
        <v>3608846.11</v>
      </c>
      <c r="L2531" s="19">
        <f t="shared" si="470"/>
        <v>7522667</v>
      </c>
      <c r="M2531" s="20"/>
      <c r="N2531" s="20"/>
      <c r="P2531" s="55">
        <v>1729089167</v>
      </c>
      <c r="Q2531" s="97">
        <v>44105</v>
      </c>
      <c r="R2531" s="14">
        <v>207200</v>
      </c>
      <c r="S2531" s="14">
        <v>265200</v>
      </c>
      <c r="T2531" s="21"/>
    </row>
    <row r="2532" spans="2:20" ht="15.75" hidden="1" customHeight="1" x14ac:dyDescent="0.25">
      <c r="B2532" s="89">
        <v>44179.125</v>
      </c>
      <c r="C2532" s="92" t="s">
        <v>2393</v>
      </c>
      <c r="D2532" s="34"/>
      <c r="E2532" s="102">
        <v>3640000</v>
      </c>
      <c r="F2532" s="37"/>
      <c r="G2532" s="37">
        <f t="shared" si="468"/>
        <v>3640000</v>
      </c>
      <c r="H2532" s="64"/>
      <c r="I2532" s="64"/>
      <c r="J2532" s="91">
        <v>31153.89</v>
      </c>
      <c r="K2532" s="18">
        <f t="shared" si="469"/>
        <v>3608846.11</v>
      </c>
      <c r="L2532" s="19">
        <f t="shared" si="470"/>
        <v>3882667</v>
      </c>
      <c r="M2532" s="20"/>
      <c r="N2532" s="20"/>
      <c r="P2532" s="55">
        <v>1729507880</v>
      </c>
      <c r="Q2532" s="97">
        <v>44136</v>
      </c>
      <c r="R2532" s="14">
        <v>207200</v>
      </c>
      <c r="S2532" s="14">
        <v>265200</v>
      </c>
      <c r="T2532" s="21"/>
    </row>
    <row r="2533" spans="2:20" ht="15.75" hidden="1" customHeight="1" x14ac:dyDescent="0.25">
      <c r="B2533" s="89">
        <v>44194.125</v>
      </c>
      <c r="C2533" s="92" t="s">
        <v>2394</v>
      </c>
      <c r="D2533" s="34"/>
      <c r="E2533" s="102">
        <v>3640000</v>
      </c>
      <c r="F2533" s="37"/>
      <c r="G2533" s="37">
        <f t="shared" si="468"/>
        <v>3640000</v>
      </c>
      <c r="H2533" s="64"/>
      <c r="I2533" s="64"/>
      <c r="J2533" s="91">
        <v>31153.89</v>
      </c>
      <c r="K2533" s="18">
        <f t="shared" si="469"/>
        <v>3608846.11</v>
      </c>
      <c r="L2533" s="19">
        <f t="shared" si="470"/>
        <v>242667</v>
      </c>
      <c r="M2533" s="20"/>
      <c r="N2533" s="20"/>
      <c r="P2533" s="55">
        <v>1729546339</v>
      </c>
      <c r="Q2533" s="97">
        <v>44166</v>
      </c>
      <c r="R2533" s="14">
        <v>207200</v>
      </c>
      <c r="S2533" s="14">
        <v>265200</v>
      </c>
      <c r="T2533" s="21"/>
    </row>
    <row r="2534" spans="2:20" ht="15.75" hidden="1" customHeight="1" x14ac:dyDescent="0.25">
      <c r="B2534" s="89"/>
      <c r="C2534" s="92" t="s">
        <v>2047</v>
      </c>
      <c r="D2534" s="34"/>
      <c r="E2534" s="102">
        <v>242667</v>
      </c>
      <c r="F2534" s="37"/>
      <c r="G2534" s="37">
        <f t="shared" si="468"/>
        <v>242667</v>
      </c>
      <c r="H2534" s="64"/>
      <c r="I2534" s="64"/>
      <c r="J2534" s="91"/>
      <c r="K2534" s="18">
        <f t="shared" si="469"/>
        <v>242667</v>
      </c>
      <c r="L2534" s="19">
        <f t="shared" si="470"/>
        <v>0</v>
      </c>
      <c r="M2534" s="20"/>
      <c r="N2534" s="20"/>
      <c r="P2534" s="55"/>
      <c r="Q2534" s="97"/>
      <c r="R2534" s="14"/>
      <c r="S2534" s="14"/>
      <c r="T2534" s="21"/>
    </row>
    <row r="2535" spans="2:20" ht="15" hidden="1" x14ac:dyDescent="0.25">
      <c r="B2535" s="9" t="s">
        <v>2395</v>
      </c>
      <c r="C2535" s="10"/>
      <c r="D2535" s="11">
        <v>50250000</v>
      </c>
      <c r="E2535" s="11">
        <f>+D2535</f>
        <v>50250000</v>
      </c>
      <c r="F2535" s="11"/>
      <c r="G2535" s="11"/>
      <c r="H2535" s="11"/>
      <c r="I2535" s="11"/>
      <c r="J2535" s="11"/>
      <c r="K2535" s="11"/>
      <c r="L2535" s="11">
        <f>+D2535</f>
        <v>50250000</v>
      </c>
      <c r="M2535" s="12"/>
      <c r="N2535" s="12"/>
      <c r="P2535" s="55"/>
      <c r="Q2535" s="55"/>
      <c r="R2535" s="14"/>
      <c r="S2535" s="14"/>
      <c r="T2535" s="21"/>
    </row>
    <row r="2536" spans="2:20" ht="12.75" hidden="1" customHeight="1" x14ac:dyDescent="0.25">
      <c r="B2536" s="89">
        <v>43910.083333333336</v>
      </c>
      <c r="C2536" s="92" t="s">
        <v>2396</v>
      </c>
      <c r="D2536" s="34"/>
      <c r="E2536" s="102">
        <v>150000</v>
      </c>
      <c r="F2536" s="37"/>
      <c r="G2536" s="37">
        <f t="shared" ref="G2536:G2548" si="471">+E2536</f>
        <v>150000</v>
      </c>
      <c r="H2536" s="64"/>
      <c r="I2536" s="64"/>
      <c r="J2536" s="91">
        <v>1283.81</v>
      </c>
      <c r="K2536" s="18">
        <f t="shared" ref="K2536:K2548" si="472">+G2536-H2536-I2536-J2536</f>
        <v>148716.19</v>
      </c>
      <c r="L2536" s="19">
        <f t="shared" ref="L2536:L2548" si="473">+L2535-G2536</f>
        <v>50100000</v>
      </c>
      <c r="M2536" s="20"/>
      <c r="N2536" s="20"/>
      <c r="O2536" s="81">
        <f>L2548-'[1]ANEXO 7 - PPTO VIG 2020'!T62</f>
        <v>0</v>
      </c>
      <c r="P2536" s="110">
        <v>40962664</v>
      </c>
      <c r="Q2536" s="116">
        <v>43831</v>
      </c>
      <c r="R2536" s="111">
        <v>128600</v>
      </c>
      <c r="S2536" s="111">
        <v>164600</v>
      </c>
      <c r="T2536" s="21"/>
    </row>
    <row r="2537" spans="2:20" ht="15.75" hidden="1" customHeight="1" x14ac:dyDescent="0.25">
      <c r="B2537" s="89">
        <v>43910.083333333336</v>
      </c>
      <c r="C2537" s="92" t="s">
        <v>2397</v>
      </c>
      <c r="D2537" s="34"/>
      <c r="E2537" s="102">
        <v>4500000</v>
      </c>
      <c r="F2537" s="37"/>
      <c r="G2537" s="37">
        <f t="shared" si="471"/>
        <v>4500000</v>
      </c>
      <c r="H2537" s="64"/>
      <c r="I2537" s="64"/>
      <c r="J2537" s="91">
        <v>38514.42</v>
      </c>
      <c r="K2537" s="18">
        <f t="shared" si="472"/>
        <v>4461485.58</v>
      </c>
      <c r="L2537" s="19">
        <f t="shared" si="473"/>
        <v>45600000</v>
      </c>
      <c r="M2537" s="20"/>
      <c r="N2537" s="20"/>
      <c r="O2537" s="81"/>
      <c r="P2537" s="110">
        <v>40951943</v>
      </c>
      <c r="Q2537" s="116">
        <v>43862</v>
      </c>
      <c r="R2537" s="111">
        <v>225000</v>
      </c>
      <c r="S2537" s="111">
        <v>288000</v>
      </c>
      <c r="T2537" s="117">
        <f>+L2535*40%</f>
        <v>20100000</v>
      </c>
    </row>
    <row r="2538" spans="2:20" ht="15.75" hidden="1" customHeight="1" x14ac:dyDescent="0.25">
      <c r="B2538" s="89">
        <v>43937.083333333336</v>
      </c>
      <c r="C2538" s="92" t="s">
        <v>2398</v>
      </c>
      <c r="D2538" s="34"/>
      <c r="E2538" s="102">
        <v>4500000</v>
      </c>
      <c r="F2538" s="37"/>
      <c r="G2538" s="37">
        <f t="shared" si="471"/>
        <v>4500000</v>
      </c>
      <c r="H2538" s="64"/>
      <c r="I2538" s="64"/>
      <c r="J2538" s="91">
        <v>43470</v>
      </c>
      <c r="K2538" s="18">
        <f t="shared" si="472"/>
        <v>4456530</v>
      </c>
      <c r="L2538" s="19">
        <f t="shared" si="473"/>
        <v>41100000</v>
      </c>
      <c r="M2538" s="20"/>
      <c r="N2538" s="20"/>
      <c r="O2538" s="81"/>
      <c r="P2538" s="118">
        <v>40951943</v>
      </c>
      <c r="Q2538" s="119">
        <v>43891</v>
      </c>
      <c r="R2538" s="120">
        <v>225000</v>
      </c>
      <c r="S2538" s="120">
        <v>288000</v>
      </c>
      <c r="T2538" s="117">
        <f>+T2537*16%</f>
        <v>3216000</v>
      </c>
    </row>
    <row r="2539" spans="2:20" ht="15.75" hidden="1" customHeight="1" x14ac:dyDescent="0.25">
      <c r="B2539" s="89">
        <v>43959.083333333336</v>
      </c>
      <c r="C2539" s="92" t="s">
        <v>2399</v>
      </c>
      <c r="D2539" s="34"/>
      <c r="E2539" s="102">
        <v>4500000</v>
      </c>
      <c r="F2539" s="37"/>
      <c r="G2539" s="37">
        <f t="shared" si="471"/>
        <v>4500000</v>
      </c>
      <c r="H2539" s="64"/>
      <c r="I2539" s="64"/>
      <c r="J2539" s="91">
        <v>38514.42</v>
      </c>
      <c r="K2539" s="18">
        <f t="shared" si="472"/>
        <v>4461485.58</v>
      </c>
      <c r="L2539" s="19">
        <f t="shared" si="473"/>
        <v>36600000</v>
      </c>
      <c r="M2539" s="20"/>
      <c r="N2539" s="20"/>
      <c r="O2539" s="81"/>
      <c r="P2539" s="110">
        <v>42933803</v>
      </c>
      <c r="Q2539" s="116">
        <v>43922</v>
      </c>
      <c r="R2539" s="111">
        <v>127500</v>
      </c>
      <c r="S2539" s="111">
        <v>30600</v>
      </c>
      <c r="T2539" s="117">
        <f>+T2537*12.5%</f>
        <v>2512500</v>
      </c>
    </row>
    <row r="2540" spans="2:20" ht="15.75" hidden="1" customHeight="1" x14ac:dyDescent="0.25">
      <c r="B2540" s="89">
        <v>44001.083333333336</v>
      </c>
      <c r="C2540" s="92" t="s">
        <v>2400</v>
      </c>
      <c r="D2540" s="34"/>
      <c r="E2540" s="102">
        <v>4500000</v>
      </c>
      <c r="F2540" s="37"/>
      <c r="G2540" s="37">
        <f t="shared" si="471"/>
        <v>4500000</v>
      </c>
      <c r="H2540" s="64"/>
      <c r="I2540" s="64"/>
      <c r="J2540" s="91">
        <v>40774.86</v>
      </c>
      <c r="K2540" s="18">
        <f t="shared" si="472"/>
        <v>4459225.1399999997</v>
      </c>
      <c r="L2540" s="19">
        <f t="shared" si="473"/>
        <v>32100000</v>
      </c>
      <c r="M2540" s="20"/>
      <c r="N2540" s="20"/>
      <c r="O2540" s="81"/>
      <c r="P2540" s="110">
        <v>43430300</v>
      </c>
      <c r="Q2540" s="116">
        <v>43952</v>
      </c>
      <c r="R2540" s="111">
        <v>250000</v>
      </c>
      <c r="S2540" s="111">
        <v>60000</v>
      </c>
      <c r="T2540" s="21"/>
    </row>
    <row r="2541" spans="2:20" ht="15.75" hidden="1" customHeight="1" x14ac:dyDescent="0.25">
      <c r="B2541" s="89">
        <v>44020.083333333336</v>
      </c>
      <c r="C2541" s="92" t="s">
        <v>2401</v>
      </c>
      <c r="D2541" s="34"/>
      <c r="E2541" s="102">
        <v>4500000</v>
      </c>
      <c r="F2541" s="37"/>
      <c r="G2541" s="37">
        <f t="shared" si="471"/>
        <v>4500000</v>
      </c>
      <c r="H2541" s="64"/>
      <c r="I2541" s="64"/>
      <c r="J2541" s="91">
        <v>40774.86</v>
      </c>
      <c r="K2541" s="18">
        <f t="shared" si="472"/>
        <v>4459225.1399999997</v>
      </c>
      <c r="L2541" s="19">
        <f t="shared" si="473"/>
        <v>27600000</v>
      </c>
      <c r="M2541" s="20"/>
      <c r="N2541" s="20"/>
      <c r="O2541" s="81"/>
      <c r="P2541" s="121">
        <v>44542068</v>
      </c>
      <c r="Q2541" s="122">
        <v>43983</v>
      </c>
      <c r="R2541" s="123">
        <v>250000</v>
      </c>
      <c r="S2541" s="123">
        <v>320000</v>
      </c>
      <c r="T2541" s="21"/>
    </row>
    <row r="2542" spans="2:20" ht="15.75" hidden="1" customHeight="1" x14ac:dyDescent="0.25">
      <c r="B2542" s="89">
        <v>44061.083333333336</v>
      </c>
      <c r="C2542" s="92" t="s">
        <v>2402</v>
      </c>
      <c r="D2542" s="34"/>
      <c r="E2542" s="102">
        <v>4500000</v>
      </c>
      <c r="F2542" s="37"/>
      <c r="G2542" s="37">
        <f t="shared" si="471"/>
        <v>4500000</v>
      </c>
      <c r="H2542" s="64"/>
      <c r="I2542" s="64"/>
      <c r="J2542" s="91">
        <v>38514.42</v>
      </c>
      <c r="K2542" s="18">
        <f t="shared" si="472"/>
        <v>4461485.58</v>
      </c>
      <c r="L2542" s="19">
        <f t="shared" si="473"/>
        <v>23100000</v>
      </c>
      <c r="M2542" s="20"/>
      <c r="N2542" s="20"/>
      <c r="O2542" s="81"/>
      <c r="P2542" s="121">
        <v>44244674</v>
      </c>
      <c r="Q2542" s="122">
        <v>44013</v>
      </c>
      <c r="R2542" s="123">
        <v>250000</v>
      </c>
      <c r="S2542" s="123">
        <v>320000</v>
      </c>
      <c r="T2542" s="21"/>
    </row>
    <row r="2543" spans="2:20" ht="15.75" hidden="1" customHeight="1" x14ac:dyDescent="0.25">
      <c r="B2543" s="89">
        <v>44088.083333333336</v>
      </c>
      <c r="C2543" s="92" t="s">
        <v>2403</v>
      </c>
      <c r="D2543" s="34"/>
      <c r="E2543" s="102">
        <v>4500000</v>
      </c>
      <c r="F2543" s="37"/>
      <c r="G2543" s="37">
        <f t="shared" si="471"/>
        <v>4500000</v>
      </c>
      <c r="H2543" s="64"/>
      <c r="I2543" s="64"/>
      <c r="J2543" s="91">
        <v>38514.42</v>
      </c>
      <c r="K2543" s="18">
        <f t="shared" si="472"/>
        <v>4461485.58</v>
      </c>
      <c r="L2543" s="19">
        <f t="shared" si="473"/>
        <v>18600000</v>
      </c>
      <c r="M2543" s="20"/>
      <c r="N2543" s="20"/>
      <c r="O2543" s="81"/>
      <c r="P2543" s="121">
        <v>44874810</v>
      </c>
      <c r="Q2543" s="122">
        <v>44044</v>
      </c>
      <c r="R2543" s="123">
        <v>250000</v>
      </c>
      <c r="S2543" s="123">
        <v>320000</v>
      </c>
      <c r="T2543" s="21"/>
    </row>
    <row r="2544" spans="2:20" ht="15.75" hidden="1" customHeight="1" x14ac:dyDescent="0.25">
      <c r="B2544" s="89">
        <v>44124.083333333336</v>
      </c>
      <c r="C2544" s="92" t="s">
        <v>2404</v>
      </c>
      <c r="D2544" s="34"/>
      <c r="E2544" s="102">
        <v>4500000</v>
      </c>
      <c r="F2544" s="37"/>
      <c r="G2544" s="37">
        <f t="shared" si="471"/>
        <v>4500000</v>
      </c>
      <c r="H2544" s="64"/>
      <c r="I2544" s="64"/>
      <c r="J2544" s="91">
        <v>38514.42</v>
      </c>
      <c r="K2544" s="18">
        <f t="shared" si="472"/>
        <v>4461485.58</v>
      </c>
      <c r="L2544" s="19">
        <f t="shared" si="473"/>
        <v>14100000</v>
      </c>
      <c r="M2544" s="20"/>
      <c r="N2544" s="20"/>
      <c r="O2544" s="81"/>
      <c r="P2544" s="121">
        <v>45523103</v>
      </c>
      <c r="Q2544" s="122">
        <v>44075</v>
      </c>
      <c r="R2544" s="123">
        <v>250000</v>
      </c>
      <c r="S2544" s="123">
        <v>320000</v>
      </c>
      <c r="T2544" s="21"/>
    </row>
    <row r="2545" spans="2:20" ht="15.75" hidden="1" customHeight="1" x14ac:dyDescent="0.25">
      <c r="B2545" s="89">
        <v>44168.125</v>
      </c>
      <c r="C2545" s="92" t="s">
        <v>2405</v>
      </c>
      <c r="D2545" s="34"/>
      <c r="E2545" s="102">
        <v>4500000</v>
      </c>
      <c r="F2545" s="37"/>
      <c r="G2545" s="37">
        <f t="shared" si="471"/>
        <v>4500000</v>
      </c>
      <c r="H2545" s="64"/>
      <c r="I2545" s="64"/>
      <c r="J2545" s="91">
        <v>38514.42</v>
      </c>
      <c r="K2545" s="18">
        <f t="shared" si="472"/>
        <v>4461485.58</v>
      </c>
      <c r="L2545" s="19">
        <f t="shared" si="473"/>
        <v>9600000</v>
      </c>
      <c r="M2545" s="20"/>
      <c r="N2545" s="20"/>
      <c r="O2545" s="81"/>
      <c r="P2545" s="121">
        <v>46792033</v>
      </c>
      <c r="Q2545" s="122">
        <v>44105</v>
      </c>
      <c r="R2545" s="123">
        <v>375000</v>
      </c>
      <c r="S2545" s="123">
        <v>480000</v>
      </c>
      <c r="T2545" s="21"/>
    </row>
    <row r="2546" spans="2:20" ht="15.75" hidden="1" customHeight="1" x14ac:dyDescent="0.25">
      <c r="B2546" s="89">
        <v>44193.125</v>
      </c>
      <c r="C2546" s="92" t="s">
        <v>2406</v>
      </c>
      <c r="D2546" s="34"/>
      <c r="E2546" s="102">
        <v>4500000</v>
      </c>
      <c r="F2546" s="37"/>
      <c r="G2546" s="37">
        <f t="shared" si="471"/>
        <v>4500000</v>
      </c>
      <c r="H2546" s="64"/>
      <c r="I2546" s="64"/>
      <c r="J2546" s="91">
        <v>38514.42</v>
      </c>
      <c r="K2546" s="18">
        <f t="shared" si="472"/>
        <v>4461485.58</v>
      </c>
      <c r="L2546" s="19">
        <f t="shared" si="473"/>
        <v>5100000</v>
      </c>
      <c r="M2546" s="20"/>
      <c r="N2546" s="20"/>
      <c r="O2546" s="81"/>
      <c r="P2546" s="121">
        <v>46800903</v>
      </c>
      <c r="Q2546" s="122">
        <v>44136</v>
      </c>
      <c r="R2546" s="123">
        <v>375000</v>
      </c>
      <c r="S2546" s="123">
        <v>480000</v>
      </c>
      <c r="T2546" s="21"/>
    </row>
    <row r="2547" spans="2:20" ht="15.75" hidden="1" customHeight="1" x14ac:dyDescent="0.25">
      <c r="B2547" s="89">
        <v>44200.125</v>
      </c>
      <c r="C2547" s="92" t="s">
        <v>2407</v>
      </c>
      <c r="D2547" s="34"/>
      <c r="E2547" s="102">
        <v>4500000</v>
      </c>
      <c r="F2547" s="37"/>
      <c r="G2547" s="37">
        <f t="shared" si="471"/>
        <v>4500000</v>
      </c>
      <c r="H2547" s="64"/>
      <c r="I2547" s="64"/>
      <c r="J2547" s="91">
        <v>38514.42</v>
      </c>
      <c r="K2547" s="18">
        <f t="shared" si="472"/>
        <v>4461485.58</v>
      </c>
      <c r="L2547" s="19">
        <f t="shared" si="473"/>
        <v>600000</v>
      </c>
      <c r="M2547" s="20"/>
      <c r="N2547" s="20"/>
      <c r="O2547" s="81"/>
      <c r="P2547" s="121">
        <v>4751406</v>
      </c>
      <c r="Q2547" s="122">
        <v>44166</v>
      </c>
      <c r="R2547" s="123">
        <v>250000</v>
      </c>
      <c r="S2547" s="123">
        <v>320000</v>
      </c>
      <c r="T2547" s="21"/>
    </row>
    <row r="2548" spans="2:20" ht="15.75" hidden="1" customHeight="1" x14ac:dyDescent="0.25">
      <c r="B2548" s="89"/>
      <c r="C2548" s="92" t="s">
        <v>2047</v>
      </c>
      <c r="D2548" s="34"/>
      <c r="E2548" s="102">
        <v>600000</v>
      </c>
      <c r="F2548" s="37"/>
      <c r="G2548" s="37">
        <f t="shared" si="471"/>
        <v>600000</v>
      </c>
      <c r="H2548" s="64"/>
      <c r="I2548" s="64"/>
      <c r="J2548" s="91"/>
      <c r="K2548" s="18">
        <f t="shared" si="472"/>
        <v>600000</v>
      </c>
      <c r="L2548" s="19">
        <f t="shared" si="473"/>
        <v>0</v>
      </c>
      <c r="M2548" s="20"/>
      <c r="N2548" s="20"/>
      <c r="O2548" s="81"/>
      <c r="T2548" s="21"/>
    </row>
    <row r="2549" spans="2:20" ht="15" hidden="1" x14ac:dyDescent="0.25">
      <c r="B2549" s="9" t="s">
        <v>2408</v>
      </c>
      <c r="C2549" s="10"/>
      <c r="D2549" s="11">
        <v>71050000</v>
      </c>
      <c r="E2549" s="11">
        <f>+D2549</f>
        <v>71050000</v>
      </c>
      <c r="F2549" s="11"/>
      <c r="G2549" s="11"/>
      <c r="H2549" s="11"/>
      <c r="I2549" s="11"/>
      <c r="J2549" s="11"/>
      <c r="K2549" s="11"/>
      <c r="L2549" s="11">
        <f>+D2549</f>
        <v>71050000</v>
      </c>
      <c r="M2549" s="12"/>
      <c r="N2549" s="12"/>
      <c r="P2549" s="55"/>
      <c r="Q2549" s="55"/>
      <c r="R2549" s="14"/>
      <c r="S2549" s="14"/>
      <c r="T2549" s="21"/>
    </row>
    <row r="2550" spans="2:20" ht="12.75" hidden="1" customHeight="1" x14ac:dyDescent="0.25">
      <c r="B2550" s="89">
        <v>43910.083333333336</v>
      </c>
      <c r="C2550" s="90" t="s">
        <v>2409</v>
      </c>
      <c r="D2550" s="34"/>
      <c r="E2550" s="102">
        <v>4950000</v>
      </c>
      <c r="F2550" s="37"/>
      <c r="G2550" s="37">
        <f t="shared" ref="G2550:G2561" si="474">+E2550</f>
        <v>4950000</v>
      </c>
      <c r="H2550" s="64"/>
      <c r="I2550" s="64"/>
      <c r="J2550" s="64">
        <v>42365.86</v>
      </c>
      <c r="K2550" s="18">
        <f t="shared" ref="K2550:K2561" si="475">+G2550-H2550-I2550-J2550</f>
        <v>4907634.1399999997</v>
      </c>
      <c r="L2550" s="19">
        <f t="shared" ref="L2550:L2561" si="476">+L2549-G2550</f>
        <v>66100000</v>
      </c>
      <c r="M2550" s="20"/>
      <c r="N2550" s="20"/>
      <c r="O2550" s="81">
        <f>+L2561-'[1]ANEXO 7 - PPTO VIG 2020'!T83</f>
        <v>0</v>
      </c>
      <c r="P2550" s="55">
        <v>40507804</v>
      </c>
      <c r="Q2550" s="97">
        <v>43862</v>
      </c>
      <c r="R2550" s="14">
        <v>275000</v>
      </c>
      <c r="S2550" s="14">
        <v>352000</v>
      </c>
      <c r="T2550" s="21"/>
    </row>
    <row r="2551" spans="2:20" ht="12.75" hidden="1" customHeight="1" x14ac:dyDescent="0.25">
      <c r="B2551" s="89">
        <v>43941.083333333336</v>
      </c>
      <c r="C2551" s="90" t="s">
        <v>2410</v>
      </c>
      <c r="D2551" s="34"/>
      <c r="E2551" s="102">
        <v>5500000</v>
      </c>
      <c r="F2551" s="37"/>
      <c r="G2551" s="37">
        <f t="shared" si="474"/>
        <v>5500000</v>
      </c>
      <c r="H2551" s="64"/>
      <c r="I2551" s="64">
        <v>50057.39</v>
      </c>
      <c r="J2551" s="64">
        <v>47073.18</v>
      </c>
      <c r="K2551" s="18">
        <f t="shared" si="475"/>
        <v>5402869.4300000006</v>
      </c>
      <c r="L2551" s="19">
        <f t="shared" si="476"/>
        <v>60600000</v>
      </c>
      <c r="M2551" s="20"/>
      <c r="N2551" s="20"/>
      <c r="O2551" s="81"/>
      <c r="P2551" s="55">
        <v>41450017</v>
      </c>
      <c r="Q2551" s="97">
        <v>43891</v>
      </c>
      <c r="R2551" s="14">
        <v>275000</v>
      </c>
      <c r="S2551" s="14">
        <v>352000</v>
      </c>
      <c r="T2551" s="21"/>
    </row>
    <row r="2552" spans="2:20" ht="12.75" hidden="1" customHeight="1" x14ac:dyDescent="0.25">
      <c r="B2552" s="89">
        <v>43962.083333333336</v>
      </c>
      <c r="C2552" s="90" t="s">
        <v>2411</v>
      </c>
      <c r="D2552" s="34"/>
      <c r="E2552" s="102">
        <v>5500000</v>
      </c>
      <c r="F2552" s="37"/>
      <c r="G2552" s="37">
        <f t="shared" si="474"/>
        <v>5500000</v>
      </c>
      <c r="H2552" s="64"/>
      <c r="I2552" s="64">
        <v>50057.39</v>
      </c>
      <c r="J2552" s="64">
        <v>47073.18</v>
      </c>
      <c r="K2552" s="18">
        <f t="shared" si="475"/>
        <v>5402869.4300000006</v>
      </c>
      <c r="L2552" s="19">
        <f t="shared" si="476"/>
        <v>55100000</v>
      </c>
      <c r="M2552" s="20"/>
      <c r="N2552" s="20"/>
      <c r="O2552" s="81"/>
      <c r="P2552" s="55">
        <v>42026865</v>
      </c>
      <c r="Q2552" s="97">
        <v>43922</v>
      </c>
      <c r="R2552" s="14">
        <v>275000</v>
      </c>
      <c r="S2552" s="14">
        <v>352000</v>
      </c>
      <c r="T2552" s="21"/>
    </row>
    <row r="2553" spans="2:20" ht="12.75" hidden="1" customHeight="1" x14ac:dyDescent="0.25">
      <c r="B2553" s="89">
        <v>43993.083333333336</v>
      </c>
      <c r="C2553" s="90" t="s">
        <v>2412</v>
      </c>
      <c r="D2553" s="34"/>
      <c r="E2553" s="102">
        <v>5500000</v>
      </c>
      <c r="F2553" s="37"/>
      <c r="G2553" s="37">
        <f t="shared" si="474"/>
        <v>5500000</v>
      </c>
      <c r="H2553" s="64"/>
      <c r="I2553" s="64">
        <v>50057.39</v>
      </c>
      <c r="J2553" s="64">
        <v>47073.18</v>
      </c>
      <c r="K2553" s="18">
        <f t="shared" si="475"/>
        <v>5402869.4300000006</v>
      </c>
      <c r="L2553" s="19">
        <f t="shared" si="476"/>
        <v>49600000</v>
      </c>
      <c r="M2553" s="20"/>
      <c r="N2553" s="20"/>
      <c r="O2553" s="81"/>
      <c r="P2553" s="55">
        <v>42589278</v>
      </c>
      <c r="Q2553" s="97">
        <v>43952</v>
      </c>
      <c r="R2553" s="14">
        <v>275000</v>
      </c>
      <c r="S2553" s="14">
        <v>352000</v>
      </c>
      <c r="T2553" s="21"/>
    </row>
    <row r="2554" spans="2:20" ht="12.75" hidden="1" customHeight="1" x14ac:dyDescent="0.25">
      <c r="B2554" s="89">
        <v>44022.083333333336</v>
      </c>
      <c r="C2554" s="90" t="s">
        <v>2413</v>
      </c>
      <c r="D2554" s="34"/>
      <c r="E2554" s="102">
        <v>5500000</v>
      </c>
      <c r="F2554" s="37"/>
      <c r="G2554" s="37">
        <f t="shared" si="474"/>
        <v>5500000</v>
      </c>
      <c r="H2554" s="64"/>
      <c r="I2554" s="64">
        <v>50057.39</v>
      </c>
      <c r="J2554" s="64">
        <v>47073.18</v>
      </c>
      <c r="K2554" s="18">
        <f t="shared" si="475"/>
        <v>5402869.4300000006</v>
      </c>
      <c r="L2554" s="19">
        <f t="shared" si="476"/>
        <v>44100000</v>
      </c>
      <c r="M2554" s="20"/>
      <c r="N2554" s="20"/>
      <c r="O2554" s="81"/>
      <c r="P2554" s="55">
        <v>43422313</v>
      </c>
      <c r="Q2554" s="97">
        <v>43983</v>
      </c>
      <c r="R2554" s="14">
        <v>275000</v>
      </c>
      <c r="S2554" s="14">
        <v>352000</v>
      </c>
      <c r="T2554" s="21"/>
    </row>
    <row r="2555" spans="2:20" ht="12.75" hidden="1" customHeight="1" x14ac:dyDescent="0.25">
      <c r="B2555" s="89">
        <v>44047.083333333336</v>
      </c>
      <c r="C2555" s="90" t="s">
        <v>2414</v>
      </c>
      <c r="D2555" s="34"/>
      <c r="E2555" s="102">
        <v>5500000</v>
      </c>
      <c r="F2555" s="37"/>
      <c r="G2555" s="37">
        <f t="shared" si="474"/>
        <v>5500000</v>
      </c>
      <c r="H2555" s="64"/>
      <c r="I2555" s="64">
        <v>50057.39</v>
      </c>
      <c r="J2555" s="64">
        <v>47073.18</v>
      </c>
      <c r="K2555" s="18">
        <f t="shared" si="475"/>
        <v>5402869.4300000006</v>
      </c>
      <c r="L2555" s="19">
        <f t="shared" si="476"/>
        <v>38600000</v>
      </c>
      <c r="M2555" s="20"/>
      <c r="N2555" s="20"/>
      <c r="O2555" s="81"/>
      <c r="P2555" s="55">
        <v>44017553</v>
      </c>
      <c r="Q2555" s="97">
        <v>44013</v>
      </c>
      <c r="R2555" s="14">
        <v>275000</v>
      </c>
      <c r="S2555" s="14">
        <v>352000</v>
      </c>
      <c r="T2555" s="21"/>
    </row>
    <row r="2556" spans="2:20" ht="12.75" hidden="1" customHeight="1" x14ac:dyDescent="0.25">
      <c r="B2556" s="89">
        <v>44077.083333333336</v>
      </c>
      <c r="C2556" s="90" t="s">
        <v>2415</v>
      </c>
      <c r="D2556" s="34"/>
      <c r="E2556" s="102">
        <v>5500000</v>
      </c>
      <c r="F2556" s="37"/>
      <c r="G2556" s="37">
        <f t="shared" si="474"/>
        <v>5500000</v>
      </c>
      <c r="H2556" s="64"/>
      <c r="I2556" s="64">
        <v>50057.39</v>
      </c>
      <c r="J2556" s="64">
        <v>47073.18</v>
      </c>
      <c r="K2556" s="18">
        <f t="shared" si="475"/>
        <v>5402869.4300000006</v>
      </c>
      <c r="L2556" s="19">
        <f t="shared" si="476"/>
        <v>33100000</v>
      </c>
      <c r="M2556" s="20"/>
      <c r="N2556" s="20"/>
      <c r="O2556" s="81"/>
      <c r="P2556" s="55">
        <v>44504227</v>
      </c>
      <c r="Q2556" s="97">
        <v>44044</v>
      </c>
      <c r="R2556" s="14">
        <v>275000</v>
      </c>
      <c r="S2556" s="14">
        <v>352000</v>
      </c>
      <c r="T2556" s="21"/>
    </row>
    <row r="2557" spans="2:20" ht="12.75" hidden="1" customHeight="1" x14ac:dyDescent="0.25">
      <c r="B2557" s="89">
        <v>44109.083333333336</v>
      </c>
      <c r="C2557" s="90" t="s">
        <v>2416</v>
      </c>
      <c r="D2557" s="34"/>
      <c r="E2557" s="102">
        <v>5500000</v>
      </c>
      <c r="F2557" s="37"/>
      <c r="G2557" s="37">
        <f t="shared" si="474"/>
        <v>5500000</v>
      </c>
      <c r="H2557" s="64"/>
      <c r="I2557" s="64">
        <v>50057.39</v>
      </c>
      <c r="J2557" s="64">
        <v>47073.18</v>
      </c>
      <c r="K2557" s="18">
        <f t="shared" si="475"/>
        <v>5402869.4300000006</v>
      </c>
      <c r="L2557" s="19">
        <f t="shared" si="476"/>
        <v>27600000</v>
      </c>
      <c r="M2557" s="20"/>
      <c r="N2557" s="20"/>
      <c r="O2557" s="81"/>
      <c r="P2557" s="55">
        <v>45188897</v>
      </c>
      <c r="Q2557" s="97">
        <v>44075</v>
      </c>
      <c r="R2557" s="14">
        <v>275000</v>
      </c>
      <c r="S2557" s="14">
        <v>352000</v>
      </c>
      <c r="T2557" s="21"/>
    </row>
    <row r="2558" spans="2:20" ht="12.75" hidden="1" customHeight="1" x14ac:dyDescent="0.25">
      <c r="B2558" s="89">
        <v>44141.125</v>
      </c>
      <c r="C2558" s="90" t="s">
        <v>2417</v>
      </c>
      <c r="D2558" s="34"/>
      <c r="E2558" s="102">
        <v>5500000</v>
      </c>
      <c r="F2558" s="37"/>
      <c r="G2558" s="37">
        <f t="shared" si="474"/>
        <v>5500000</v>
      </c>
      <c r="H2558" s="64"/>
      <c r="I2558" s="64">
        <v>50057.39</v>
      </c>
      <c r="J2558" s="64">
        <v>47073.18</v>
      </c>
      <c r="K2558" s="18">
        <f t="shared" si="475"/>
        <v>5402869.4300000006</v>
      </c>
      <c r="L2558" s="19">
        <f t="shared" si="476"/>
        <v>22100000</v>
      </c>
      <c r="M2558" s="20"/>
      <c r="N2558" s="20"/>
      <c r="O2558" s="81"/>
      <c r="P2558" s="55">
        <v>45825827</v>
      </c>
      <c r="Q2558" s="97">
        <v>44105</v>
      </c>
      <c r="R2558" s="14">
        <v>275000</v>
      </c>
      <c r="S2558" s="14">
        <v>352000</v>
      </c>
      <c r="T2558" s="21"/>
    </row>
    <row r="2559" spans="2:20" ht="12.75" hidden="1" customHeight="1" x14ac:dyDescent="0.25">
      <c r="B2559" s="89">
        <v>44168.125</v>
      </c>
      <c r="C2559" s="90" t="s">
        <v>2418</v>
      </c>
      <c r="D2559" s="34"/>
      <c r="E2559" s="102">
        <v>5500000</v>
      </c>
      <c r="F2559" s="37"/>
      <c r="G2559" s="37">
        <f t="shared" si="474"/>
        <v>5500000</v>
      </c>
      <c r="H2559" s="64"/>
      <c r="I2559" s="64">
        <v>50057.39</v>
      </c>
      <c r="J2559" s="64">
        <v>53130</v>
      </c>
      <c r="K2559" s="18">
        <f t="shared" si="475"/>
        <v>5396812.6100000003</v>
      </c>
      <c r="L2559" s="19">
        <f t="shared" si="476"/>
        <v>16600000</v>
      </c>
      <c r="M2559" s="20"/>
      <c r="N2559" s="20"/>
      <c r="O2559" s="81"/>
      <c r="P2559" s="55">
        <v>792719625</v>
      </c>
      <c r="Q2559" s="97">
        <v>44136</v>
      </c>
      <c r="R2559" s="14">
        <v>275000</v>
      </c>
      <c r="S2559" s="14">
        <v>352000</v>
      </c>
      <c r="T2559" s="21"/>
    </row>
    <row r="2560" spans="2:20" ht="12.75" hidden="1" customHeight="1" x14ac:dyDescent="0.25">
      <c r="B2560" s="89">
        <v>44188.125</v>
      </c>
      <c r="C2560" s="90" t="s">
        <v>2419</v>
      </c>
      <c r="D2560" s="34"/>
      <c r="E2560" s="102">
        <v>5500000</v>
      </c>
      <c r="F2560" s="37"/>
      <c r="G2560" s="37">
        <f t="shared" si="474"/>
        <v>5500000</v>
      </c>
      <c r="H2560" s="64"/>
      <c r="I2560" s="64">
        <v>50057.39</v>
      </c>
      <c r="J2560" s="64">
        <v>47073.18</v>
      </c>
      <c r="K2560" s="18">
        <f t="shared" si="475"/>
        <v>5402869.4300000006</v>
      </c>
      <c r="L2560" s="19">
        <f t="shared" si="476"/>
        <v>11100000</v>
      </c>
      <c r="M2560" s="20"/>
      <c r="N2560" s="20"/>
      <c r="O2560" s="81"/>
      <c r="P2560" s="55">
        <v>821789455</v>
      </c>
      <c r="Q2560" s="97">
        <v>44166</v>
      </c>
      <c r="R2560" s="14">
        <v>275000</v>
      </c>
      <c r="S2560" s="14">
        <v>352000</v>
      </c>
      <c r="T2560" s="21"/>
    </row>
    <row r="2561" spans="2:20" ht="12.75" hidden="1" customHeight="1" x14ac:dyDescent="0.25">
      <c r="B2561" s="89"/>
      <c r="C2561" s="90" t="s">
        <v>654</v>
      </c>
      <c r="D2561" s="34"/>
      <c r="E2561" s="102">
        <v>11100000</v>
      </c>
      <c r="F2561" s="37"/>
      <c r="G2561" s="37">
        <f t="shared" si="474"/>
        <v>11100000</v>
      </c>
      <c r="H2561" s="64"/>
      <c r="I2561" s="64"/>
      <c r="J2561" s="64"/>
      <c r="K2561" s="18">
        <f t="shared" si="475"/>
        <v>11100000</v>
      </c>
      <c r="L2561" s="19">
        <f t="shared" si="476"/>
        <v>0</v>
      </c>
      <c r="M2561" s="20"/>
      <c r="N2561" s="20"/>
      <c r="O2561" s="81"/>
      <c r="P2561" s="55"/>
      <c r="Q2561" s="97"/>
      <c r="R2561" s="14"/>
      <c r="S2561" s="14"/>
      <c r="T2561" s="21"/>
    </row>
    <row r="2562" spans="2:20" ht="15" hidden="1" x14ac:dyDescent="0.25">
      <c r="B2562" s="9" t="s">
        <v>2420</v>
      </c>
      <c r="C2562" s="10"/>
      <c r="D2562" s="11">
        <v>142400000</v>
      </c>
      <c r="E2562" s="11">
        <f>+D2562</f>
        <v>142400000</v>
      </c>
      <c r="F2562" s="11"/>
      <c r="G2562" s="11"/>
      <c r="H2562" s="11"/>
      <c r="I2562" s="11"/>
      <c r="J2562" s="11"/>
      <c r="K2562" s="11"/>
      <c r="L2562" s="11">
        <f>+D2562</f>
        <v>142400000</v>
      </c>
      <c r="M2562" s="12"/>
      <c r="N2562" s="12"/>
      <c r="P2562" s="55"/>
      <c r="Q2562" s="55"/>
      <c r="R2562" s="14"/>
      <c r="S2562" s="14"/>
      <c r="T2562" s="21"/>
    </row>
    <row r="2563" spans="2:20" ht="12.75" hidden="1" customHeight="1" x14ac:dyDescent="0.25">
      <c r="B2563" s="89">
        <v>43937.083333333336</v>
      </c>
      <c r="C2563" s="90" t="s">
        <v>2421</v>
      </c>
      <c r="D2563" s="34"/>
      <c r="E2563" s="102">
        <v>14200000</v>
      </c>
      <c r="F2563" s="37"/>
      <c r="G2563" s="37">
        <f t="shared" ref="G2563:G2574" si="477">+E2563</f>
        <v>14200000</v>
      </c>
      <c r="H2563" s="64"/>
      <c r="I2563" s="64">
        <v>1245120.96</v>
      </c>
      <c r="J2563" s="64">
        <v>121534.39</v>
      </c>
      <c r="K2563" s="18">
        <f>+G2563-H2563-I2563-J2563</f>
        <v>12833344.649999999</v>
      </c>
      <c r="L2563" s="19">
        <f t="shared" ref="L2563:L2574" si="478">+L2562-G2563</f>
        <v>128200000</v>
      </c>
      <c r="M2563" s="20"/>
      <c r="N2563" s="20"/>
      <c r="O2563" s="81">
        <f>+L2574-'[1]ANEXO 7 - PPTO VIG 2020'!T16</f>
        <v>0</v>
      </c>
      <c r="P2563" s="55">
        <v>41318894</v>
      </c>
      <c r="Q2563" s="97">
        <v>43862</v>
      </c>
      <c r="R2563" s="14">
        <v>103000</v>
      </c>
      <c r="S2563" s="14">
        <v>132600</v>
      </c>
      <c r="T2563" s="21"/>
    </row>
    <row r="2564" spans="2:20" ht="12.75" hidden="1" customHeight="1" x14ac:dyDescent="0.25">
      <c r="B2564" s="89">
        <v>43937.083333333336</v>
      </c>
      <c r="C2564" s="90" t="s">
        <v>2422</v>
      </c>
      <c r="D2564" s="34"/>
      <c r="E2564" s="102">
        <v>1420000</v>
      </c>
      <c r="F2564" s="37"/>
      <c r="G2564" s="37">
        <f t="shared" si="477"/>
        <v>1420000</v>
      </c>
      <c r="H2564" s="64"/>
      <c r="I2564" s="64"/>
      <c r="J2564" s="64">
        <v>12153.44</v>
      </c>
      <c r="K2564" s="18">
        <f>+G2564-H2564-I2564-J2564</f>
        <v>1407846.56</v>
      </c>
      <c r="L2564" s="19">
        <f t="shared" si="478"/>
        <v>126780000</v>
      </c>
      <c r="M2564" s="20"/>
      <c r="N2564" s="20"/>
      <c r="O2564" s="81"/>
      <c r="P2564" s="55">
        <v>41499813</v>
      </c>
      <c r="Q2564" s="97">
        <v>43891</v>
      </c>
      <c r="R2564" s="14">
        <v>712000</v>
      </c>
      <c r="S2564" s="14">
        <v>968400</v>
      </c>
      <c r="T2564" s="21"/>
    </row>
    <row r="2565" spans="2:20" ht="15" hidden="1" x14ac:dyDescent="0.25">
      <c r="B2565" s="89">
        <v>43962.083333333336</v>
      </c>
      <c r="C2565" s="92" t="s">
        <v>2423</v>
      </c>
      <c r="D2565" s="34"/>
      <c r="E2565" s="102">
        <v>14200000</v>
      </c>
      <c r="F2565" s="37"/>
      <c r="G2565" s="37">
        <f t="shared" si="477"/>
        <v>14200000</v>
      </c>
      <c r="H2565" s="64"/>
      <c r="I2565" s="64">
        <v>2812522.94</v>
      </c>
      <c r="J2565" s="18">
        <v>121534.39</v>
      </c>
      <c r="K2565" s="18">
        <f t="shared" ref="K2565:K2570" si="479">+G2565-H2565-I2565-J2565</f>
        <v>11265942.67</v>
      </c>
      <c r="L2565" s="19">
        <f t="shared" si="478"/>
        <v>112580000</v>
      </c>
      <c r="M2565" s="20"/>
      <c r="N2565" s="20"/>
      <c r="P2565" s="55">
        <v>44093980</v>
      </c>
      <c r="Q2565" s="97">
        <v>43922</v>
      </c>
      <c r="R2565" s="14">
        <v>712000</v>
      </c>
      <c r="S2565" s="14">
        <v>968400</v>
      </c>
      <c r="T2565" s="21"/>
    </row>
    <row r="2566" spans="2:20" ht="15" hidden="1" x14ac:dyDescent="0.25">
      <c r="B2566" s="89">
        <v>43994.083333333336</v>
      </c>
      <c r="C2566" s="92" t="s">
        <v>2424</v>
      </c>
      <c r="D2566" s="34"/>
      <c r="E2566" s="102">
        <v>14200000</v>
      </c>
      <c r="F2566" s="37"/>
      <c r="G2566" s="37">
        <f t="shared" si="477"/>
        <v>14200000</v>
      </c>
      <c r="H2566" s="64"/>
      <c r="I2566" s="64">
        <v>2812522.94</v>
      </c>
      <c r="J2566" s="18">
        <v>121534.39</v>
      </c>
      <c r="K2566" s="18">
        <f t="shared" si="479"/>
        <v>11265942.67</v>
      </c>
      <c r="L2566" s="19">
        <f t="shared" si="478"/>
        <v>98380000</v>
      </c>
      <c r="M2566" s="20"/>
      <c r="N2566" s="20"/>
      <c r="P2566" s="55">
        <v>42850518</v>
      </c>
      <c r="Q2566" s="97">
        <v>43952</v>
      </c>
      <c r="R2566" s="14">
        <v>712000</v>
      </c>
      <c r="S2566" s="14">
        <v>968400</v>
      </c>
      <c r="T2566" s="21"/>
    </row>
    <row r="2567" spans="2:20" ht="15" hidden="1" x14ac:dyDescent="0.25">
      <c r="B2567" s="89">
        <v>44020.083333333336</v>
      </c>
      <c r="C2567" s="92" t="s">
        <v>2425</v>
      </c>
      <c r="D2567" s="34"/>
      <c r="E2567" s="102">
        <v>14200000</v>
      </c>
      <c r="F2567" s="37"/>
      <c r="G2567" s="37">
        <f t="shared" si="477"/>
        <v>14200000</v>
      </c>
      <c r="H2567" s="64"/>
      <c r="I2567" s="64">
        <v>2806243.9699999997</v>
      </c>
      <c r="J2567" s="18">
        <v>121534.39</v>
      </c>
      <c r="K2567" s="18">
        <f t="shared" si="479"/>
        <v>11272221.640000001</v>
      </c>
      <c r="L2567" s="19">
        <f t="shared" si="478"/>
        <v>84180000</v>
      </c>
      <c r="M2567" s="20"/>
      <c r="N2567" s="20"/>
      <c r="P2567" s="55">
        <v>43518251</v>
      </c>
      <c r="Q2567" s="97">
        <v>43983</v>
      </c>
      <c r="R2567" s="14">
        <v>712000</v>
      </c>
      <c r="S2567" s="14">
        <v>968400</v>
      </c>
      <c r="T2567" s="21"/>
    </row>
    <row r="2568" spans="2:20" ht="15" hidden="1" x14ac:dyDescent="0.25">
      <c r="B2568" s="89">
        <v>44047.083333333336</v>
      </c>
      <c r="C2568" s="92" t="s">
        <v>2426</v>
      </c>
      <c r="D2568" s="34"/>
      <c r="E2568" s="102">
        <v>14200000</v>
      </c>
      <c r="F2568" s="37"/>
      <c r="G2568" s="37">
        <f t="shared" si="477"/>
        <v>14200000</v>
      </c>
      <c r="H2568" s="64"/>
      <c r="I2568" s="64">
        <v>1238883.96</v>
      </c>
      <c r="J2568" s="18">
        <v>121534.39</v>
      </c>
      <c r="K2568" s="18">
        <f t="shared" si="479"/>
        <v>12839581.649999999</v>
      </c>
      <c r="L2568" s="19">
        <f t="shared" si="478"/>
        <v>69980000</v>
      </c>
      <c r="M2568" s="20"/>
      <c r="N2568" s="20"/>
      <c r="P2568" s="55">
        <v>44251400</v>
      </c>
      <c r="Q2568" s="97">
        <v>44013</v>
      </c>
      <c r="R2568" s="14">
        <v>712000</v>
      </c>
      <c r="S2568" s="14">
        <v>968400</v>
      </c>
      <c r="T2568" s="21"/>
    </row>
    <row r="2569" spans="2:20" ht="15" hidden="1" x14ac:dyDescent="0.25">
      <c r="B2569" s="89">
        <v>44077.083333333336</v>
      </c>
      <c r="C2569" s="92" t="s">
        <v>2427</v>
      </c>
      <c r="D2569" s="34"/>
      <c r="E2569" s="102">
        <v>14200000</v>
      </c>
      <c r="F2569" s="37"/>
      <c r="G2569" s="37">
        <f t="shared" si="477"/>
        <v>14200000</v>
      </c>
      <c r="H2569" s="64"/>
      <c r="I2569" s="64">
        <v>1238883.96</v>
      </c>
      <c r="J2569" s="18">
        <v>121534.39</v>
      </c>
      <c r="K2569" s="18">
        <f t="shared" si="479"/>
        <v>12839581.649999999</v>
      </c>
      <c r="L2569" s="19">
        <f t="shared" si="478"/>
        <v>55780000</v>
      </c>
      <c r="M2569" s="20"/>
      <c r="N2569" s="20"/>
      <c r="P2569" s="55">
        <v>44930159</v>
      </c>
      <c r="Q2569" s="97">
        <v>44044</v>
      </c>
      <c r="R2569" s="14">
        <v>712000</v>
      </c>
      <c r="S2569" s="14">
        <v>968400</v>
      </c>
      <c r="T2569" s="21"/>
    </row>
    <row r="2570" spans="2:20" ht="15" hidden="1" x14ac:dyDescent="0.25">
      <c r="B2570" s="89">
        <v>44110.083333333336</v>
      </c>
      <c r="C2570" s="92" t="s">
        <v>2428</v>
      </c>
      <c r="D2570" s="34"/>
      <c r="E2570" s="102">
        <v>14200000</v>
      </c>
      <c r="F2570" s="37"/>
      <c r="G2570" s="37">
        <f t="shared" si="477"/>
        <v>14200000</v>
      </c>
      <c r="H2570" s="64"/>
      <c r="I2570" s="64">
        <v>1238883.96</v>
      </c>
      <c r="J2570" s="18">
        <v>121534.39</v>
      </c>
      <c r="K2570" s="18">
        <f t="shared" si="479"/>
        <v>12839581.649999999</v>
      </c>
      <c r="L2570" s="19">
        <f t="shared" si="478"/>
        <v>41580000</v>
      </c>
      <c r="M2570" s="20"/>
      <c r="N2570" s="20"/>
      <c r="P2570" s="55">
        <v>45588048</v>
      </c>
      <c r="Q2570" s="97">
        <v>44075</v>
      </c>
      <c r="R2570" s="14">
        <v>712000</v>
      </c>
      <c r="S2570" s="14">
        <v>968400</v>
      </c>
      <c r="T2570" s="21"/>
    </row>
    <row r="2571" spans="2:20" ht="15" hidden="1" x14ac:dyDescent="0.25">
      <c r="B2571" s="89">
        <v>44144.125</v>
      </c>
      <c r="C2571" s="92" t="s">
        <v>2429</v>
      </c>
      <c r="D2571" s="34"/>
      <c r="E2571" s="102">
        <v>14200000</v>
      </c>
      <c r="F2571" s="37"/>
      <c r="G2571" s="37">
        <f t="shared" si="477"/>
        <v>14200000</v>
      </c>
      <c r="H2571" s="64"/>
      <c r="I2571" s="64">
        <v>1236540.3500000001</v>
      </c>
      <c r="J2571" s="18">
        <v>121534.39</v>
      </c>
      <c r="K2571" s="18">
        <f>+G2571-H2571-I2571-J2571</f>
        <v>12841925.26</v>
      </c>
      <c r="L2571" s="19">
        <f t="shared" si="478"/>
        <v>27380000</v>
      </c>
      <c r="M2571" s="20"/>
      <c r="N2571" s="20"/>
      <c r="P2571" s="55">
        <v>46208934</v>
      </c>
      <c r="Q2571" s="97">
        <v>44105</v>
      </c>
      <c r="R2571" s="14">
        <v>712000</v>
      </c>
      <c r="S2571" s="14">
        <v>968400</v>
      </c>
      <c r="T2571" s="21"/>
    </row>
    <row r="2572" spans="2:20" ht="15" hidden="1" x14ac:dyDescent="0.25">
      <c r="B2572" s="89">
        <v>44168.125</v>
      </c>
      <c r="C2572" s="92" t="s">
        <v>2430</v>
      </c>
      <c r="D2572" s="34"/>
      <c r="E2572" s="102">
        <v>14200000</v>
      </c>
      <c r="F2572" s="37"/>
      <c r="G2572" s="37">
        <f t="shared" si="477"/>
        <v>14200000</v>
      </c>
      <c r="H2572" s="64"/>
      <c r="I2572" s="64">
        <v>1238883.96</v>
      </c>
      <c r="J2572" s="18">
        <v>121534.39</v>
      </c>
      <c r="K2572" s="18">
        <f>+G2572-H2572-I2572-J2572</f>
        <v>12839581.649999999</v>
      </c>
      <c r="L2572" s="19">
        <f t="shared" si="478"/>
        <v>13180000</v>
      </c>
      <c r="M2572" s="20"/>
      <c r="N2572" s="20"/>
      <c r="P2572" s="55">
        <v>810209352</v>
      </c>
      <c r="Q2572" s="97">
        <v>44136</v>
      </c>
      <c r="R2572" s="14">
        <v>712000</v>
      </c>
      <c r="S2572" s="14">
        <v>968400</v>
      </c>
      <c r="T2572" s="21"/>
    </row>
    <row r="2573" spans="2:20" ht="15" hidden="1" x14ac:dyDescent="0.25">
      <c r="B2573" s="89">
        <v>44189.125</v>
      </c>
      <c r="C2573" s="92" t="s">
        <v>2431</v>
      </c>
      <c r="D2573" s="34"/>
      <c r="E2573" s="102">
        <v>12780000</v>
      </c>
      <c r="F2573" s="37"/>
      <c r="G2573" s="37">
        <f t="shared" si="477"/>
        <v>12780000</v>
      </c>
      <c r="H2573" s="64"/>
      <c r="I2573" s="64">
        <v>975913.56</v>
      </c>
      <c r="J2573" s="18">
        <v>109380.95</v>
      </c>
      <c r="K2573" s="18">
        <f>+G2573-H2573-I2573-J2573</f>
        <v>11694705.49</v>
      </c>
      <c r="L2573" s="19">
        <f t="shared" si="478"/>
        <v>400000</v>
      </c>
      <c r="M2573" s="20"/>
      <c r="N2573" s="20"/>
      <c r="P2573" s="55">
        <v>47345217</v>
      </c>
      <c r="Q2573" s="97">
        <v>44166</v>
      </c>
      <c r="R2573" s="14">
        <v>712000</v>
      </c>
      <c r="S2573" s="14">
        <v>968400</v>
      </c>
      <c r="T2573" s="21"/>
    </row>
    <row r="2574" spans="2:20" ht="15" hidden="1" x14ac:dyDescent="0.25">
      <c r="B2574" s="89"/>
      <c r="C2574" s="92" t="s">
        <v>654</v>
      </c>
      <c r="D2574" s="34"/>
      <c r="E2574" s="102">
        <v>400000</v>
      </c>
      <c r="F2574" s="37"/>
      <c r="G2574" s="37">
        <f t="shared" si="477"/>
        <v>400000</v>
      </c>
      <c r="H2574" s="64"/>
      <c r="I2574" s="64"/>
      <c r="J2574" s="18"/>
      <c r="K2574" s="18">
        <f>+G2574-H2574-I2574-J2574</f>
        <v>400000</v>
      </c>
      <c r="L2574" s="19">
        <f t="shared" si="478"/>
        <v>0</v>
      </c>
      <c r="M2574" s="20"/>
      <c r="N2574" s="20"/>
      <c r="P2574" s="55"/>
      <c r="Q2574" s="97"/>
      <c r="R2574" s="14"/>
      <c r="S2574" s="14"/>
      <c r="T2574" s="21"/>
    </row>
    <row r="2575" spans="2:20" ht="15" hidden="1" x14ac:dyDescent="0.25">
      <c r="B2575" s="9" t="s">
        <v>2432</v>
      </c>
      <c r="C2575" s="10"/>
      <c r="D2575" s="11">
        <v>82000000</v>
      </c>
      <c r="E2575" s="11">
        <f>+D2575</f>
        <v>82000000</v>
      </c>
      <c r="F2575" s="11"/>
      <c r="G2575" s="11"/>
      <c r="H2575" s="11"/>
      <c r="I2575" s="11"/>
      <c r="J2575" s="11"/>
      <c r="K2575" s="11"/>
      <c r="L2575" s="11">
        <f>+D2575</f>
        <v>82000000</v>
      </c>
      <c r="M2575" s="12"/>
      <c r="N2575" s="12"/>
      <c r="P2575" s="55"/>
      <c r="Q2575" s="55"/>
      <c r="R2575" s="14"/>
      <c r="S2575" s="14"/>
      <c r="T2575" s="21"/>
    </row>
    <row r="2576" spans="2:20" ht="15" hidden="1" x14ac:dyDescent="0.25">
      <c r="B2576" s="89">
        <v>43962.083333333336</v>
      </c>
      <c r="C2576" s="92" t="s">
        <v>2433</v>
      </c>
      <c r="D2576" s="34"/>
      <c r="E2576" s="102">
        <v>6133333</v>
      </c>
      <c r="F2576" s="37"/>
      <c r="G2576" s="37">
        <f t="shared" ref="G2576:G2581" si="480">+E2576</f>
        <v>6133333</v>
      </c>
      <c r="H2576" s="64"/>
      <c r="I2576" s="64">
        <v>128161.81</v>
      </c>
      <c r="J2576" s="64">
        <v>52493.73</v>
      </c>
      <c r="K2576" s="18">
        <f t="shared" ref="K2576:K2581" si="481">+G2576-H2576-I2576-J2576</f>
        <v>5952677.46</v>
      </c>
      <c r="L2576" s="19">
        <f t="shared" ref="L2576:L2581" si="482">+L2575-G2576</f>
        <v>75866667</v>
      </c>
      <c r="M2576" s="20"/>
      <c r="N2576" s="20"/>
      <c r="O2576" s="81">
        <f>+L2585-'[1]ANEXO 7 - PPTO VIG 2020'!T49</f>
        <v>0</v>
      </c>
      <c r="P2576" s="55">
        <v>42686007</v>
      </c>
      <c r="Q2576" s="97">
        <v>43922</v>
      </c>
      <c r="R2576" s="14">
        <v>875000</v>
      </c>
      <c r="S2576" s="14">
        <v>1190000</v>
      </c>
      <c r="T2576" s="21"/>
    </row>
    <row r="2577" spans="2:20" ht="15" hidden="1" x14ac:dyDescent="0.25">
      <c r="B2577" s="89">
        <v>44007.083333333336</v>
      </c>
      <c r="C2577" s="92" t="s">
        <v>2434</v>
      </c>
      <c r="D2577" s="34"/>
      <c r="E2577" s="102">
        <v>8000000</v>
      </c>
      <c r="F2577" s="37"/>
      <c r="G2577" s="37">
        <f t="shared" si="480"/>
        <v>8000000</v>
      </c>
      <c r="H2577" s="64"/>
      <c r="I2577" s="64">
        <v>1314038.58</v>
      </c>
      <c r="J2577" s="64">
        <v>68470.080000000002</v>
      </c>
      <c r="K2577" s="18">
        <f t="shared" si="481"/>
        <v>6617491.3399999999</v>
      </c>
      <c r="L2577" s="19">
        <f t="shared" si="482"/>
        <v>67866667</v>
      </c>
      <c r="M2577" s="20"/>
      <c r="N2577" s="20"/>
      <c r="O2577" s="81"/>
      <c r="P2577" s="55">
        <v>43419820</v>
      </c>
      <c r="Q2577" s="97">
        <v>43952</v>
      </c>
      <c r="R2577" s="14">
        <v>875000</v>
      </c>
      <c r="S2577" s="14">
        <v>1190000</v>
      </c>
      <c r="T2577" s="21"/>
    </row>
    <row r="2578" spans="2:20" ht="15" hidden="1" x14ac:dyDescent="0.25">
      <c r="B2578" s="89">
        <v>44029.083333333336</v>
      </c>
      <c r="C2578" s="92" t="s">
        <v>2435</v>
      </c>
      <c r="D2578" s="34"/>
      <c r="E2578" s="102">
        <v>8000000</v>
      </c>
      <c r="F2578" s="37"/>
      <c r="G2578" s="37">
        <f t="shared" si="480"/>
        <v>8000000</v>
      </c>
      <c r="H2578" s="64"/>
      <c r="I2578" s="64">
        <v>1314038.58</v>
      </c>
      <c r="J2578" s="64">
        <v>68470.080000000002</v>
      </c>
      <c r="K2578" s="18">
        <f t="shared" si="481"/>
        <v>6617491.3399999999</v>
      </c>
      <c r="L2578" s="19">
        <f t="shared" si="482"/>
        <v>59866667</v>
      </c>
      <c r="M2578" s="20"/>
      <c r="N2578" s="20"/>
      <c r="O2578" s="81"/>
      <c r="P2578" s="55">
        <v>44106248</v>
      </c>
      <c r="Q2578" s="97">
        <v>43983</v>
      </c>
      <c r="R2578" s="14">
        <v>875000</v>
      </c>
      <c r="S2578" s="14">
        <v>1190000</v>
      </c>
      <c r="T2578" s="21"/>
    </row>
    <row r="2579" spans="2:20" ht="15" hidden="1" x14ac:dyDescent="0.25">
      <c r="B2579" s="89">
        <v>44056.083333333336</v>
      </c>
      <c r="C2579" s="92" t="s">
        <v>2436</v>
      </c>
      <c r="D2579" s="34"/>
      <c r="E2579" s="102">
        <v>8000000</v>
      </c>
      <c r="F2579" s="37"/>
      <c r="G2579" s="37">
        <f t="shared" si="480"/>
        <v>8000000</v>
      </c>
      <c r="H2579" s="64"/>
      <c r="I2579" s="64">
        <v>357558.16</v>
      </c>
      <c r="J2579" s="64">
        <v>68470.080000000002</v>
      </c>
      <c r="K2579" s="18">
        <f t="shared" si="481"/>
        <v>7573971.7599999998</v>
      </c>
      <c r="L2579" s="19">
        <f t="shared" si="482"/>
        <v>51866667</v>
      </c>
      <c r="M2579" s="20"/>
      <c r="N2579" s="20"/>
      <c r="O2579" s="81"/>
      <c r="P2579" s="55">
        <v>44739507</v>
      </c>
      <c r="Q2579" s="97">
        <v>44013</v>
      </c>
      <c r="R2579" s="14">
        <v>875000</v>
      </c>
      <c r="S2579" s="14">
        <v>1190000</v>
      </c>
      <c r="T2579" s="21"/>
    </row>
    <row r="2580" spans="2:20" ht="15" hidden="1" x14ac:dyDescent="0.25">
      <c r="B2580" s="89">
        <v>44091.083333333336</v>
      </c>
      <c r="C2580" s="92" t="s">
        <v>2437</v>
      </c>
      <c r="D2580" s="34"/>
      <c r="E2580" s="102">
        <v>8000000</v>
      </c>
      <c r="F2580" s="37"/>
      <c r="G2580" s="37">
        <f t="shared" si="480"/>
        <v>8000000</v>
      </c>
      <c r="H2580" s="64"/>
      <c r="I2580" s="64">
        <v>357558.16</v>
      </c>
      <c r="J2580" s="64">
        <v>77280</v>
      </c>
      <c r="K2580" s="18">
        <f t="shared" si="481"/>
        <v>7565161.8399999999</v>
      </c>
      <c r="L2580" s="19">
        <f t="shared" si="482"/>
        <v>43866667</v>
      </c>
      <c r="M2580" s="20"/>
      <c r="N2580" s="20"/>
      <c r="O2580" s="81"/>
      <c r="P2580" s="55">
        <v>45491211</v>
      </c>
      <c r="Q2580" s="97">
        <v>44044</v>
      </c>
      <c r="R2580" s="14">
        <v>875000</v>
      </c>
      <c r="S2580" s="14">
        <v>1190000</v>
      </c>
      <c r="T2580" s="21"/>
    </row>
    <row r="2581" spans="2:20" ht="15" hidden="1" x14ac:dyDescent="0.25">
      <c r="B2581" s="89">
        <v>44117.083333333336</v>
      </c>
      <c r="C2581" s="92" t="s">
        <v>2438</v>
      </c>
      <c r="D2581" s="34"/>
      <c r="E2581" s="102">
        <v>8000000</v>
      </c>
      <c r="F2581" s="37"/>
      <c r="G2581" s="37">
        <f t="shared" si="480"/>
        <v>8000000</v>
      </c>
      <c r="H2581" s="64"/>
      <c r="I2581" s="64">
        <v>243558.15</v>
      </c>
      <c r="J2581" s="64">
        <v>68470.080000000002</v>
      </c>
      <c r="K2581" s="18">
        <f t="shared" si="481"/>
        <v>7687971.7699999996</v>
      </c>
      <c r="L2581" s="19">
        <f t="shared" si="482"/>
        <v>35866667</v>
      </c>
      <c r="M2581" s="20"/>
      <c r="N2581" s="20"/>
      <c r="O2581" s="81"/>
      <c r="P2581" s="55">
        <v>46060898</v>
      </c>
      <c r="Q2581" s="97">
        <v>44075</v>
      </c>
      <c r="R2581" s="14">
        <v>875000</v>
      </c>
      <c r="S2581" s="14">
        <v>1190000</v>
      </c>
      <c r="T2581" s="21"/>
    </row>
    <row r="2582" spans="2:20" ht="15" hidden="1" x14ac:dyDescent="0.25">
      <c r="B2582" s="89">
        <v>44153.125</v>
      </c>
      <c r="C2582" s="92" t="s">
        <v>2439</v>
      </c>
      <c r="D2582" s="34"/>
      <c r="E2582" s="102">
        <v>8000000</v>
      </c>
      <c r="F2582" s="37"/>
      <c r="G2582" s="37">
        <f>+E2582</f>
        <v>8000000</v>
      </c>
      <c r="H2582" s="64"/>
      <c r="I2582" s="64">
        <v>243558.15</v>
      </c>
      <c r="J2582" s="64">
        <v>68470.080000000002</v>
      </c>
      <c r="K2582" s="18">
        <f>+G2582-H2582-I2582-J2582</f>
        <v>7687971.7699999996</v>
      </c>
      <c r="L2582" s="19">
        <f>+L2581-G2582</f>
        <v>27866667</v>
      </c>
      <c r="M2582" s="20"/>
      <c r="N2582" s="20"/>
      <c r="O2582" s="81"/>
      <c r="P2582" s="21">
        <v>46692882</v>
      </c>
      <c r="Q2582" s="98">
        <v>44105</v>
      </c>
      <c r="R2582" s="14">
        <v>875000</v>
      </c>
      <c r="S2582" s="14">
        <v>1190000</v>
      </c>
      <c r="T2582" s="21"/>
    </row>
    <row r="2583" spans="2:20" ht="15" hidden="1" x14ac:dyDescent="0.25">
      <c r="B2583" s="89">
        <v>44179.125</v>
      </c>
      <c r="C2583" s="92" t="s">
        <v>2440</v>
      </c>
      <c r="D2583" s="34"/>
      <c r="E2583" s="102">
        <v>8000000</v>
      </c>
      <c r="F2583" s="37"/>
      <c r="G2583" s="37">
        <f>+E2583</f>
        <v>8000000</v>
      </c>
      <c r="H2583" s="64"/>
      <c r="I2583" s="64">
        <v>243558.15</v>
      </c>
      <c r="J2583" s="64">
        <v>68470.080000000002</v>
      </c>
      <c r="K2583" s="18">
        <f>+G2583-H2583-I2583-J2583</f>
        <v>7687971.7699999996</v>
      </c>
      <c r="L2583" s="19">
        <f>+L2582-G2583</f>
        <v>19866667</v>
      </c>
      <c r="M2583" s="20"/>
      <c r="N2583" s="20"/>
      <c r="O2583" s="81"/>
      <c r="P2583" s="55">
        <v>47232382</v>
      </c>
      <c r="Q2583" s="97">
        <v>44136</v>
      </c>
      <c r="R2583" s="14">
        <v>875000</v>
      </c>
      <c r="S2583" s="14">
        <v>1190000</v>
      </c>
      <c r="T2583" s="21"/>
    </row>
    <row r="2584" spans="2:20" ht="15" hidden="1" x14ac:dyDescent="0.25">
      <c r="B2584" s="89">
        <v>44209.125</v>
      </c>
      <c r="C2584" s="92" t="s">
        <v>2441</v>
      </c>
      <c r="D2584" s="34"/>
      <c r="E2584" s="102">
        <v>8000000</v>
      </c>
      <c r="F2584" s="37"/>
      <c r="G2584" s="37">
        <f>+E2584</f>
        <v>8000000</v>
      </c>
      <c r="H2584" s="64"/>
      <c r="I2584" s="64">
        <v>230905.12</v>
      </c>
      <c r="J2584" s="64">
        <v>68470.080000000002</v>
      </c>
      <c r="K2584" s="18">
        <f>+G2584-H2584-I2584-J2584</f>
        <v>7700624.7999999998</v>
      </c>
      <c r="L2584" s="19">
        <f>+L2583-G2584</f>
        <v>11866667</v>
      </c>
      <c r="M2584" s="20"/>
      <c r="N2584" s="20"/>
      <c r="O2584" s="81"/>
      <c r="P2584" s="55">
        <v>47804934</v>
      </c>
      <c r="Q2584" s="97">
        <v>44166</v>
      </c>
      <c r="R2584" s="14">
        <v>875000</v>
      </c>
      <c r="S2584" s="14">
        <v>1190000</v>
      </c>
      <c r="T2584" s="21"/>
    </row>
    <row r="2585" spans="2:20" ht="15" hidden="1" x14ac:dyDescent="0.25">
      <c r="B2585" s="89"/>
      <c r="C2585" s="92" t="s">
        <v>2047</v>
      </c>
      <c r="D2585" s="34"/>
      <c r="E2585" s="102">
        <v>11866667</v>
      </c>
      <c r="F2585" s="37"/>
      <c r="G2585" s="37">
        <f>+E2585</f>
        <v>11866667</v>
      </c>
      <c r="H2585" s="64"/>
      <c r="I2585" s="64"/>
      <c r="J2585" s="64"/>
      <c r="K2585" s="18">
        <f>+G2585-H2585-I2585-J2585</f>
        <v>11866667</v>
      </c>
      <c r="L2585" s="19">
        <f>+L2584-G2585</f>
        <v>0</v>
      </c>
      <c r="M2585" s="20"/>
      <c r="N2585" s="20"/>
      <c r="O2585" s="81"/>
      <c r="P2585" s="84"/>
      <c r="Q2585" s="124"/>
      <c r="R2585" s="125"/>
      <c r="S2585" s="125"/>
      <c r="T2585" s="21"/>
    </row>
    <row r="2586" spans="2:20" ht="15" hidden="1" x14ac:dyDescent="0.25">
      <c r="B2586" s="9" t="s">
        <v>2442</v>
      </c>
      <c r="C2586" s="10"/>
      <c r="D2586" s="11">
        <v>66160000</v>
      </c>
      <c r="E2586" s="11">
        <f>+D2586</f>
        <v>66160000</v>
      </c>
      <c r="F2586" s="11"/>
      <c r="G2586" s="11"/>
      <c r="H2586" s="11"/>
      <c r="I2586" s="11"/>
      <c r="J2586" s="11"/>
      <c r="K2586" s="11"/>
      <c r="L2586" s="11">
        <f>+D2586</f>
        <v>66160000</v>
      </c>
      <c r="M2586" s="12"/>
      <c r="N2586" s="12"/>
      <c r="T2586" s="21"/>
    </row>
    <row r="2587" spans="2:20" ht="12.75" hidden="1" customHeight="1" x14ac:dyDescent="0.25">
      <c r="B2587" s="89">
        <v>43962.083333333336</v>
      </c>
      <c r="C2587" s="90" t="s">
        <v>2443</v>
      </c>
      <c r="D2587" s="34"/>
      <c r="E2587" s="102">
        <v>4784000</v>
      </c>
      <c r="F2587" s="37"/>
      <c r="G2587" s="37">
        <f t="shared" ref="G2587:G2592" si="483">+E2587</f>
        <v>4784000</v>
      </c>
      <c r="H2587" s="64"/>
      <c r="I2587" s="64"/>
      <c r="J2587" s="64">
        <v>40945.11</v>
      </c>
      <c r="K2587" s="18">
        <f t="shared" ref="K2587:K2592" si="484">+G2587-H2587-I2587-J2587</f>
        <v>4743054.8899999997</v>
      </c>
      <c r="L2587" s="19">
        <f t="shared" ref="L2587:L2592" si="485">+L2586-G2587</f>
        <v>61376000</v>
      </c>
      <c r="M2587" s="20"/>
      <c r="N2587" s="20"/>
      <c r="O2587" s="81">
        <f>+L2596-'[1]ANEXO 7 - PPTO VIG 2020'!T50</f>
        <v>0</v>
      </c>
      <c r="P2587" s="55">
        <v>9406167521</v>
      </c>
      <c r="Q2587" s="97">
        <v>43922</v>
      </c>
      <c r="R2587" s="14">
        <v>239200</v>
      </c>
      <c r="S2587" s="14">
        <v>306200</v>
      </c>
      <c r="T2587" s="3">
        <f>54704000*40%</f>
        <v>21881600</v>
      </c>
    </row>
    <row r="2588" spans="2:20" ht="12.75" hidden="1" customHeight="1" x14ac:dyDescent="0.25">
      <c r="B2588" s="89">
        <v>43987.083333333336</v>
      </c>
      <c r="C2588" s="90" t="s">
        <v>2444</v>
      </c>
      <c r="D2588" s="34"/>
      <c r="E2588" s="102">
        <v>6240000</v>
      </c>
      <c r="F2588" s="37"/>
      <c r="G2588" s="37">
        <f t="shared" si="483"/>
        <v>6240000</v>
      </c>
      <c r="H2588" s="64"/>
      <c r="I2588" s="64"/>
      <c r="J2588" s="64">
        <v>78429.149999999994</v>
      </c>
      <c r="K2588" s="18">
        <f t="shared" si="484"/>
        <v>6161570.8499999996</v>
      </c>
      <c r="L2588" s="19">
        <f t="shared" si="485"/>
        <v>55136000</v>
      </c>
      <c r="M2588" s="20"/>
      <c r="N2588" s="20"/>
      <c r="O2588" s="81"/>
      <c r="P2588" s="55">
        <v>9407282556</v>
      </c>
      <c r="Q2588" s="97">
        <v>43952</v>
      </c>
      <c r="R2588" s="14">
        <v>312000</v>
      </c>
      <c r="S2588" s="14">
        <v>399400</v>
      </c>
      <c r="T2588" s="3">
        <f>+T2587*12.5%</f>
        <v>2735200</v>
      </c>
    </row>
    <row r="2589" spans="2:20" ht="12.75" hidden="1" customHeight="1" x14ac:dyDescent="0.25">
      <c r="B2589" s="89">
        <v>44021.083333333336</v>
      </c>
      <c r="C2589" s="90" t="s">
        <v>2445</v>
      </c>
      <c r="D2589" s="34"/>
      <c r="E2589" s="102">
        <v>6240000</v>
      </c>
      <c r="F2589" s="37"/>
      <c r="G2589" s="37">
        <f t="shared" si="483"/>
        <v>6240000</v>
      </c>
      <c r="H2589" s="64"/>
      <c r="I2589" s="64">
        <v>1585321.35</v>
      </c>
      <c r="J2589" s="64">
        <v>53406.66</v>
      </c>
      <c r="K2589" s="18">
        <f t="shared" si="484"/>
        <v>4601271.99</v>
      </c>
      <c r="L2589" s="19">
        <f t="shared" si="485"/>
        <v>48896000</v>
      </c>
      <c r="M2589" s="20"/>
      <c r="N2589" s="20"/>
      <c r="O2589" s="81"/>
      <c r="P2589" s="55">
        <v>9409376354</v>
      </c>
      <c r="Q2589" s="97">
        <v>43983</v>
      </c>
      <c r="R2589" s="14">
        <v>312000</v>
      </c>
      <c r="S2589" s="14">
        <v>399400</v>
      </c>
      <c r="T2589" s="3">
        <f>+T2587*16%</f>
        <v>3501056</v>
      </c>
    </row>
    <row r="2590" spans="2:20" ht="12.75" hidden="1" customHeight="1" x14ac:dyDescent="0.25">
      <c r="B2590" s="89">
        <v>44056.083333333336</v>
      </c>
      <c r="C2590" s="90" t="s">
        <v>2446</v>
      </c>
      <c r="D2590" s="34"/>
      <c r="E2590" s="102">
        <v>6240000</v>
      </c>
      <c r="F2590" s="37"/>
      <c r="G2590" s="37">
        <f t="shared" si="483"/>
        <v>6240000</v>
      </c>
      <c r="H2590" s="64"/>
      <c r="I2590" s="64">
        <v>54338.1</v>
      </c>
      <c r="J2590" s="64">
        <v>53406.66</v>
      </c>
      <c r="K2590" s="18">
        <f t="shared" si="484"/>
        <v>6132255.2400000002</v>
      </c>
      <c r="L2590" s="19">
        <f t="shared" si="485"/>
        <v>42656000</v>
      </c>
      <c r="M2590" s="20"/>
      <c r="N2590" s="20"/>
      <c r="O2590" s="81"/>
      <c r="P2590" s="55">
        <v>9409160419</v>
      </c>
      <c r="Q2590" s="97">
        <v>44013</v>
      </c>
      <c r="R2590" s="14">
        <v>312000</v>
      </c>
      <c r="S2590" s="14">
        <v>399400</v>
      </c>
      <c r="T2590" s="21"/>
    </row>
    <row r="2591" spans="2:20" ht="12.75" hidden="1" customHeight="1" x14ac:dyDescent="0.25">
      <c r="B2591" s="89">
        <v>44078.083333333336</v>
      </c>
      <c r="C2591" s="90" t="s">
        <v>2447</v>
      </c>
      <c r="D2591" s="34"/>
      <c r="E2591" s="102">
        <v>6240000</v>
      </c>
      <c r="F2591" s="37"/>
      <c r="G2591" s="37">
        <f t="shared" si="483"/>
        <v>6240000</v>
      </c>
      <c r="H2591" s="64"/>
      <c r="I2591" s="64">
        <v>54338.1</v>
      </c>
      <c r="J2591" s="64">
        <v>53406.66</v>
      </c>
      <c r="K2591" s="18">
        <f t="shared" si="484"/>
        <v>6132255.2400000002</v>
      </c>
      <c r="L2591" s="19">
        <f t="shared" si="485"/>
        <v>36416000</v>
      </c>
      <c r="M2591" s="20"/>
      <c r="N2591" s="20"/>
      <c r="O2591" s="81"/>
      <c r="P2591" s="55">
        <v>9409376483</v>
      </c>
      <c r="Q2591" s="97">
        <v>44044</v>
      </c>
      <c r="R2591" s="14">
        <v>312000</v>
      </c>
      <c r="S2591" s="14">
        <v>399400</v>
      </c>
      <c r="T2591" s="21"/>
    </row>
    <row r="2592" spans="2:20" ht="12.75" hidden="1" customHeight="1" x14ac:dyDescent="0.25">
      <c r="B2592" s="89">
        <v>44112.083333333336</v>
      </c>
      <c r="C2592" s="90" t="s">
        <v>2448</v>
      </c>
      <c r="D2592" s="34"/>
      <c r="E2592" s="102">
        <v>6240000</v>
      </c>
      <c r="F2592" s="37"/>
      <c r="G2592" s="37">
        <f t="shared" si="483"/>
        <v>6240000</v>
      </c>
      <c r="H2592" s="64"/>
      <c r="I2592" s="64">
        <v>54338.1</v>
      </c>
      <c r="J2592" s="64">
        <v>53406.66</v>
      </c>
      <c r="K2592" s="18">
        <f t="shared" si="484"/>
        <v>6132255.2400000002</v>
      </c>
      <c r="L2592" s="19">
        <f t="shared" si="485"/>
        <v>30176000</v>
      </c>
      <c r="M2592" s="20"/>
      <c r="N2592" s="20"/>
      <c r="O2592" s="81"/>
      <c r="P2592" s="55">
        <v>9411535677</v>
      </c>
      <c r="Q2592" s="97">
        <v>44075</v>
      </c>
      <c r="R2592" s="14">
        <v>312000</v>
      </c>
      <c r="S2592" s="14">
        <v>399400</v>
      </c>
      <c r="T2592" s="21"/>
    </row>
    <row r="2593" spans="2:20" ht="12.75" hidden="1" customHeight="1" x14ac:dyDescent="0.25">
      <c r="B2593" s="89">
        <v>44147.125</v>
      </c>
      <c r="C2593" s="90" t="s">
        <v>2449</v>
      </c>
      <c r="D2593" s="34"/>
      <c r="E2593" s="102">
        <v>6240000</v>
      </c>
      <c r="F2593" s="37"/>
      <c r="G2593" s="37">
        <f>+E2593</f>
        <v>6240000</v>
      </c>
      <c r="H2593" s="64"/>
      <c r="I2593" s="64">
        <v>54338.1</v>
      </c>
      <c r="J2593" s="64">
        <v>53406.66</v>
      </c>
      <c r="K2593" s="18">
        <f>+G2593-H2593-I2593-J2593</f>
        <v>6132255.2400000002</v>
      </c>
      <c r="L2593" s="19">
        <f>+L2592-G2593</f>
        <v>23936000</v>
      </c>
      <c r="M2593" s="20"/>
      <c r="N2593" s="20"/>
      <c r="O2593" s="81"/>
      <c r="P2593" s="55">
        <v>9412758910</v>
      </c>
      <c r="Q2593" s="97">
        <v>44105</v>
      </c>
      <c r="R2593" s="14">
        <v>312000</v>
      </c>
      <c r="S2593" s="14">
        <v>399400</v>
      </c>
      <c r="T2593" s="3">
        <f>+G2593*40%</f>
        <v>2496000</v>
      </c>
    </row>
    <row r="2594" spans="2:20" ht="12.75" hidden="1" customHeight="1" x14ac:dyDescent="0.25">
      <c r="B2594" s="89">
        <v>44176.125</v>
      </c>
      <c r="C2594" s="90" t="s">
        <v>2450</v>
      </c>
      <c r="D2594" s="34"/>
      <c r="E2594" s="102">
        <v>6240000</v>
      </c>
      <c r="F2594" s="37"/>
      <c r="G2594" s="37">
        <f>+E2594</f>
        <v>6240000</v>
      </c>
      <c r="H2594" s="64"/>
      <c r="I2594" s="64">
        <v>54338.1</v>
      </c>
      <c r="J2594" s="64">
        <v>53406.66</v>
      </c>
      <c r="K2594" s="18">
        <f>+G2594-H2594-I2594-J2594</f>
        <v>6132255.2400000002</v>
      </c>
      <c r="L2594" s="19">
        <f>+L2593-G2594</f>
        <v>17696000</v>
      </c>
      <c r="M2594" s="20"/>
      <c r="N2594" s="20"/>
      <c r="O2594" s="81"/>
      <c r="P2594" s="55">
        <v>9413841820</v>
      </c>
      <c r="Q2594" s="97">
        <v>44136</v>
      </c>
      <c r="R2594" s="14">
        <v>312000</v>
      </c>
      <c r="S2594" s="14">
        <v>399400</v>
      </c>
      <c r="T2594" s="3">
        <f>+T2593*12.5%</f>
        <v>312000</v>
      </c>
    </row>
    <row r="2595" spans="2:20" ht="12.75" hidden="1" customHeight="1" x14ac:dyDescent="0.25">
      <c r="B2595" s="89">
        <v>44193.125</v>
      </c>
      <c r="C2595" s="90" t="s">
        <v>2451</v>
      </c>
      <c r="D2595" s="34"/>
      <c r="E2595" s="102">
        <v>6240000</v>
      </c>
      <c r="F2595" s="37"/>
      <c r="G2595" s="37">
        <f>+E2595</f>
        <v>6240000</v>
      </c>
      <c r="H2595" s="64"/>
      <c r="I2595" s="64">
        <v>54338.1</v>
      </c>
      <c r="J2595" s="64">
        <v>53406.66</v>
      </c>
      <c r="K2595" s="18">
        <f>+G2595-H2595-I2595-J2595</f>
        <v>6132255.2400000002</v>
      </c>
      <c r="L2595" s="19">
        <f>+L2594-G2595</f>
        <v>11456000</v>
      </c>
      <c r="M2595" s="20"/>
      <c r="N2595" s="20"/>
      <c r="O2595" s="81"/>
      <c r="P2595" s="55">
        <v>9413842184</v>
      </c>
      <c r="Q2595" s="97">
        <v>44166</v>
      </c>
      <c r="R2595" s="14">
        <v>312000</v>
      </c>
      <c r="S2595" s="14">
        <v>399400</v>
      </c>
      <c r="T2595" s="3">
        <f>+T2593*16%</f>
        <v>399360</v>
      </c>
    </row>
    <row r="2596" spans="2:20" ht="12.75" hidden="1" customHeight="1" x14ac:dyDescent="0.25">
      <c r="B2596" s="89"/>
      <c r="C2596" s="90" t="s">
        <v>654</v>
      </c>
      <c r="D2596" s="34"/>
      <c r="E2596" s="102">
        <v>11456000</v>
      </c>
      <c r="F2596" s="37"/>
      <c r="G2596" s="37">
        <f>+E2596</f>
        <v>11456000</v>
      </c>
      <c r="H2596" s="64"/>
      <c r="I2596" s="64"/>
      <c r="J2596" s="64"/>
      <c r="K2596" s="18">
        <f>+G2596-H2596-I2596-J2596</f>
        <v>11456000</v>
      </c>
      <c r="L2596" s="19">
        <f>+L2595-G2596</f>
        <v>0</v>
      </c>
      <c r="M2596" s="20"/>
      <c r="N2596" s="20"/>
      <c r="O2596" s="81"/>
      <c r="P2596" s="55"/>
      <c r="Q2596" s="97"/>
      <c r="R2596" s="14"/>
      <c r="S2596" s="14"/>
    </row>
    <row r="2597" spans="2:20" ht="15" hidden="1" x14ac:dyDescent="0.25">
      <c r="B2597" s="9" t="s">
        <v>2452</v>
      </c>
      <c r="C2597" s="10"/>
      <c r="D2597" s="11">
        <v>88800000</v>
      </c>
      <c r="E2597" s="11">
        <f>+D2597</f>
        <v>88800000</v>
      </c>
      <c r="F2597" s="11"/>
      <c r="G2597" s="11"/>
      <c r="H2597" s="11"/>
      <c r="I2597" s="11"/>
      <c r="J2597" s="11"/>
      <c r="K2597" s="11"/>
      <c r="L2597" s="11">
        <f>+D2597</f>
        <v>88800000</v>
      </c>
      <c r="M2597" s="12"/>
      <c r="N2597" s="12"/>
      <c r="P2597" s="55"/>
      <c r="Q2597" s="55"/>
      <c r="R2597" s="14"/>
      <c r="S2597" s="14"/>
      <c r="T2597" s="21"/>
    </row>
    <row r="2598" spans="2:20" ht="12.75" hidden="1" customHeight="1" x14ac:dyDescent="0.25">
      <c r="B2598" s="89">
        <v>44064.083333333336</v>
      </c>
      <c r="C2598" s="90" t="s">
        <v>2453</v>
      </c>
      <c r="D2598" s="34"/>
      <c r="E2598" s="102">
        <v>8000000</v>
      </c>
      <c r="F2598" s="37"/>
      <c r="G2598" s="37">
        <f t="shared" ref="G2598:G2605" si="486">+E2598</f>
        <v>8000000</v>
      </c>
      <c r="H2598" s="64"/>
      <c r="I2598" s="64">
        <v>303963.82</v>
      </c>
      <c r="J2598" s="64">
        <v>68470.080000000002</v>
      </c>
      <c r="K2598" s="18">
        <f t="shared" ref="K2598:K2606" si="487">+G2598-H2598-I2598-J2598</f>
        <v>7627566.0999999996</v>
      </c>
      <c r="L2598" s="19">
        <f t="shared" ref="L2598:L2605" si="488">+L2597-G2598</f>
        <v>80800000</v>
      </c>
      <c r="M2598" s="20"/>
      <c r="N2598" s="20"/>
      <c r="O2598" s="81">
        <f>+L2606-'[1]ANEXO 7 - PPTO VIG 2020'!T84</f>
        <v>0</v>
      </c>
      <c r="P2598" s="126">
        <v>41168340</v>
      </c>
      <c r="Q2598" s="127">
        <v>43831</v>
      </c>
      <c r="R2598" s="29">
        <v>112100</v>
      </c>
      <c r="S2598" s="29">
        <v>143400</v>
      </c>
      <c r="T2598" s="21"/>
    </row>
    <row r="2599" spans="2:20" ht="12.75" hidden="1" customHeight="1" x14ac:dyDescent="0.25">
      <c r="B2599" s="89">
        <v>44064.083333333336</v>
      </c>
      <c r="C2599" s="90" t="s">
        <v>2454</v>
      </c>
      <c r="D2599" s="34"/>
      <c r="E2599" s="102">
        <v>8000000</v>
      </c>
      <c r="F2599" s="37"/>
      <c r="G2599" s="37">
        <f t="shared" si="486"/>
        <v>8000000</v>
      </c>
      <c r="H2599" s="64"/>
      <c r="I2599" s="64">
        <v>303963.82</v>
      </c>
      <c r="J2599" s="64">
        <v>68470.080000000002</v>
      </c>
      <c r="K2599" s="18">
        <f t="shared" si="487"/>
        <v>7627566.0999999996</v>
      </c>
      <c r="L2599" s="19">
        <f t="shared" si="488"/>
        <v>72800000</v>
      </c>
      <c r="M2599" s="20"/>
      <c r="N2599" s="20"/>
      <c r="O2599" s="81"/>
      <c r="P2599" s="126">
        <v>43501083</v>
      </c>
      <c r="Q2599" s="127">
        <v>43862</v>
      </c>
      <c r="R2599" s="29">
        <v>430700</v>
      </c>
      <c r="S2599" s="29">
        <v>551300</v>
      </c>
      <c r="T2599" s="21"/>
    </row>
    <row r="2600" spans="2:20" ht="12.75" hidden="1" customHeight="1" x14ac:dyDescent="0.25">
      <c r="B2600" s="89">
        <v>44064.083333333336</v>
      </c>
      <c r="C2600" s="90" t="s">
        <v>2455</v>
      </c>
      <c r="D2600" s="34"/>
      <c r="E2600" s="102">
        <v>8000000</v>
      </c>
      <c r="F2600" s="37"/>
      <c r="G2600" s="37">
        <f t="shared" si="486"/>
        <v>8000000</v>
      </c>
      <c r="H2600" s="64"/>
      <c r="I2600" s="64">
        <v>363243.81</v>
      </c>
      <c r="J2600" s="64">
        <v>72488.639999999999</v>
      </c>
      <c r="K2600" s="18">
        <f t="shared" si="487"/>
        <v>7564267.5500000007</v>
      </c>
      <c r="L2600" s="19">
        <f t="shared" si="488"/>
        <v>64800000</v>
      </c>
      <c r="M2600" s="20"/>
      <c r="N2600" s="20"/>
      <c r="O2600" s="81"/>
      <c r="P2600" s="126">
        <v>43500514</v>
      </c>
      <c r="Q2600" s="127">
        <v>43891</v>
      </c>
      <c r="R2600" s="29">
        <v>400000</v>
      </c>
      <c r="S2600" s="29">
        <v>512000</v>
      </c>
      <c r="T2600" s="21"/>
    </row>
    <row r="2601" spans="2:20" ht="12.75" hidden="1" customHeight="1" x14ac:dyDescent="0.25">
      <c r="B2601" s="89">
        <v>44067.083333333336</v>
      </c>
      <c r="C2601" s="90" t="s">
        <v>2456</v>
      </c>
      <c r="D2601" s="34"/>
      <c r="E2601" s="102">
        <v>266667</v>
      </c>
      <c r="F2601" s="37"/>
      <c r="G2601" s="37">
        <f t="shared" si="486"/>
        <v>266667</v>
      </c>
      <c r="H2601" s="64"/>
      <c r="I2601" s="64"/>
      <c r="J2601" s="64">
        <v>2282.34</v>
      </c>
      <c r="K2601" s="18">
        <f t="shared" si="487"/>
        <v>264384.65999999997</v>
      </c>
      <c r="L2601" s="19">
        <f t="shared" si="488"/>
        <v>64533333</v>
      </c>
      <c r="M2601" s="20"/>
      <c r="N2601" s="20"/>
      <c r="O2601" s="81"/>
      <c r="P2601" s="126">
        <v>43502510</v>
      </c>
      <c r="Q2601" s="127">
        <v>43922</v>
      </c>
      <c r="R2601" s="29">
        <v>400000</v>
      </c>
      <c r="S2601" s="29">
        <v>96000</v>
      </c>
      <c r="T2601" s="21"/>
    </row>
    <row r="2602" spans="2:20" ht="12.75" hidden="1" customHeight="1" x14ac:dyDescent="0.25">
      <c r="B2602" s="89">
        <v>44067.083333333336</v>
      </c>
      <c r="C2602" s="90" t="s">
        <v>2457</v>
      </c>
      <c r="D2602" s="34"/>
      <c r="E2602" s="102">
        <v>8000000</v>
      </c>
      <c r="F2602" s="37"/>
      <c r="G2602" s="37">
        <f t="shared" si="486"/>
        <v>8000000</v>
      </c>
      <c r="H2602" s="64"/>
      <c r="I2602" s="64">
        <v>303963.82</v>
      </c>
      <c r="J2602" s="64">
        <v>68470.080000000002</v>
      </c>
      <c r="K2602" s="18">
        <f t="shared" si="487"/>
        <v>7627566.0999999996</v>
      </c>
      <c r="L2602" s="19">
        <f t="shared" si="488"/>
        <v>56533333</v>
      </c>
      <c r="M2602" s="20"/>
      <c r="N2602" s="20"/>
      <c r="O2602" s="81"/>
      <c r="P2602" s="126">
        <v>43502684</v>
      </c>
      <c r="Q2602" s="127">
        <v>43952</v>
      </c>
      <c r="R2602" s="29">
        <v>400000</v>
      </c>
      <c r="S2602" s="29">
        <v>96000</v>
      </c>
      <c r="T2602" s="21"/>
    </row>
    <row r="2603" spans="2:20" ht="12.75" hidden="1" customHeight="1" x14ac:dyDescent="0.25">
      <c r="B2603" s="89">
        <v>44067.083333333336</v>
      </c>
      <c r="C2603" s="90" t="s">
        <v>2458</v>
      </c>
      <c r="D2603" s="34"/>
      <c r="E2603" s="102">
        <v>8000000</v>
      </c>
      <c r="F2603" s="37"/>
      <c r="G2603" s="37">
        <f t="shared" si="486"/>
        <v>8000000</v>
      </c>
      <c r="H2603" s="64"/>
      <c r="I2603" s="64">
        <v>303963.82</v>
      </c>
      <c r="J2603" s="64">
        <v>68470.080000000002</v>
      </c>
      <c r="K2603" s="18">
        <f t="shared" si="487"/>
        <v>7627566.0999999996</v>
      </c>
      <c r="L2603" s="19">
        <f t="shared" si="488"/>
        <v>48533333</v>
      </c>
      <c r="M2603" s="20"/>
      <c r="N2603" s="20"/>
      <c r="O2603" s="81"/>
      <c r="P2603" s="126">
        <v>43511889</v>
      </c>
      <c r="Q2603" s="127">
        <v>43983</v>
      </c>
      <c r="R2603" s="29">
        <v>400000</v>
      </c>
      <c r="S2603" s="29">
        <v>512000</v>
      </c>
      <c r="T2603" s="21"/>
    </row>
    <row r="2604" spans="2:20" ht="12.75" hidden="1" customHeight="1" x14ac:dyDescent="0.25">
      <c r="B2604" s="89">
        <v>44067.083333333336</v>
      </c>
      <c r="C2604" s="90" t="s">
        <v>2459</v>
      </c>
      <c r="D2604" s="34"/>
      <c r="E2604" s="102">
        <v>8000000</v>
      </c>
      <c r="F2604" s="37"/>
      <c r="G2604" s="37">
        <f t="shared" si="486"/>
        <v>8000000</v>
      </c>
      <c r="H2604" s="64"/>
      <c r="I2604" s="64">
        <v>363243.81</v>
      </c>
      <c r="J2604" s="64">
        <v>72488.639999999999</v>
      </c>
      <c r="K2604" s="18">
        <f t="shared" si="487"/>
        <v>7564267.5500000007</v>
      </c>
      <c r="L2604" s="19">
        <f t="shared" si="488"/>
        <v>40533333</v>
      </c>
      <c r="M2604" s="20"/>
      <c r="N2604" s="20"/>
      <c r="O2604" s="81"/>
      <c r="P2604" s="126">
        <v>43996467</v>
      </c>
      <c r="Q2604" s="127">
        <v>44013</v>
      </c>
      <c r="R2604" s="29">
        <v>400000</v>
      </c>
      <c r="S2604" s="29">
        <v>512000</v>
      </c>
      <c r="T2604" s="21"/>
    </row>
    <row r="2605" spans="2:20" ht="12.75" hidden="1" customHeight="1" x14ac:dyDescent="0.25">
      <c r="B2605" s="89">
        <v>44082.083333333336</v>
      </c>
      <c r="C2605" s="90" t="s">
        <v>2460</v>
      </c>
      <c r="D2605" s="34"/>
      <c r="E2605" s="102">
        <v>5066666</v>
      </c>
      <c r="F2605" s="37"/>
      <c r="G2605" s="37">
        <f t="shared" si="486"/>
        <v>5066666</v>
      </c>
      <c r="H2605" s="64"/>
      <c r="I2605" s="64"/>
      <c r="J2605" s="64">
        <v>43364.38</v>
      </c>
      <c r="K2605" s="18">
        <f t="shared" si="487"/>
        <v>5023301.62</v>
      </c>
      <c r="L2605" s="19">
        <f t="shared" si="488"/>
        <v>35466667</v>
      </c>
      <c r="M2605" s="20"/>
      <c r="N2605" s="20"/>
      <c r="O2605" s="81"/>
      <c r="P2605" s="126"/>
      <c r="Q2605" s="127"/>
      <c r="R2605" s="29"/>
      <c r="S2605" s="29"/>
      <c r="T2605" s="21"/>
    </row>
    <row r="2606" spans="2:20" ht="12.75" hidden="1" customHeight="1" x14ac:dyDescent="0.25">
      <c r="B2606" s="89"/>
      <c r="C2606" s="50" t="s">
        <v>654</v>
      </c>
      <c r="D2606" s="34"/>
      <c r="E2606" s="37">
        <v>35466667</v>
      </c>
      <c r="F2606" s="37"/>
      <c r="G2606" s="37"/>
      <c r="H2606" s="64"/>
      <c r="I2606" s="64"/>
      <c r="J2606" s="64"/>
      <c r="K2606" s="18">
        <f t="shared" si="487"/>
        <v>0</v>
      </c>
      <c r="L2606" s="19">
        <f>+L2605-E2606</f>
        <v>0</v>
      </c>
      <c r="M2606" s="20"/>
      <c r="N2606" s="20"/>
      <c r="O2606" s="81"/>
      <c r="P2606" s="126"/>
      <c r="Q2606" s="127"/>
      <c r="R2606" s="29"/>
      <c r="S2606" s="29"/>
      <c r="T2606" s="21"/>
    </row>
    <row r="2607" spans="2:20" ht="15" hidden="1" x14ac:dyDescent="0.25">
      <c r="B2607" s="9" t="s">
        <v>2461</v>
      </c>
      <c r="C2607" s="10"/>
      <c r="D2607" s="11">
        <v>91520000</v>
      </c>
      <c r="E2607" s="11">
        <f>+D2607</f>
        <v>91520000</v>
      </c>
      <c r="F2607" s="11"/>
      <c r="G2607" s="11"/>
      <c r="H2607" s="11"/>
      <c r="I2607" s="11"/>
      <c r="J2607" s="11"/>
      <c r="K2607" s="11"/>
      <c r="L2607" s="11">
        <f>+D2607</f>
        <v>91520000</v>
      </c>
      <c r="M2607" s="12"/>
      <c r="N2607" s="12"/>
      <c r="P2607" s="55"/>
      <c r="Q2607" s="55"/>
      <c r="R2607" s="14"/>
      <c r="S2607" s="14"/>
      <c r="T2607" s="21"/>
    </row>
    <row r="2608" spans="2:20" ht="12.75" hidden="1" customHeight="1" x14ac:dyDescent="0.25">
      <c r="B2608" s="89">
        <v>44022.083333333336</v>
      </c>
      <c r="C2608" s="90" t="s">
        <v>2462</v>
      </c>
      <c r="D2608" s="34"/>
      <c r="E2608" s="102">
        <v>6378667</v>
      </c>
      <c r="F2608" s="37"/>
      <c r="G2608" s="37">
        <f t="shared" ref="G2608:G2619" si="489">+E2608</f>
        <v>6378667</v>
      </c>
      <c r="H2608" s="64"/>
      <c r="I2608" s="64">
        <v>156889.5</v>
      </c>
      <c r="J2608" s="64">
        <v>54593.48</v>
      </c>
      <c r="K2608" s="18">
        <f t="shared" ref="K2608:K2619" si="490">+G2608-H2608-I2608-J2608</f>
        <v>6167184.0199999996</v>
      </c>
      <c r="L2608" s="19">
        <f t="shared" ref="L2608:L2619" si="491">+L2607-G2608</f>
        <v>85141333</v>
      </c>
      <c r="M2608" s="20"/>
      <c r="N2608" s="20"/>
      <c r="O2608" s="81">
        <f>+L2619-'[1]ANEXO 7 - PPTO VIG 2020'!T48</f>
        <v>0</v>
      </c>
      <c r="P2608" s="55">
        <v>9403562093</v>
      </c>
      <c r="Q2608" s="97">
        <v>43862</v>
      </c>
      <c r="R2608" s="14">
        <v>964500</v>
      </c>
      <c r="S2608" s="14">
        <v>1331800</v>
      </c>
      <c r="T2608" s="21"/>
    </row>
    <row r="2609" spans="2:20" ht="12.75" hidden="1" customHeight="1" x14ac:dyDescent="0.25">
      <c r="B2609" s="89">
        <v>44025.083333333336</v>
      </c>
      <c r="C2609" s="90" t="s">
        <v>2463</v>
      </c>
      <c r="D2609" s="34"/>
      <c r="E2609" s="102">
        <v>8320000</v>
      </c>
      <c r="F2609" s="37"/>
      <c r="G2609" s="37">
        <f t="shared" si="489"/>
        <v>8320000</v>
      </c>
      <c r="H2609" s="64"/>
      <c r="I2609" s="64">
        <v>395827.21</v>
      </c>
      <c r="J2609" s="64">
        <v>71208.88</v>
      </c>
      <c r="K2609" s="18">
        <f t="shared" si="490"/>
        <v>7852963.9100000001</v>
      </c>
      <c r="L2609" s="19">
        <f t="shared" si="491"/>
        <v>76821333</v>
      </c>
      <c r="M2609" s="20"/>
      <c r="N2609" s="20"/>
      <c r="O2609" s="81"/>
      <c r="P2609" s="55">
        <v>9405026366</v>
      </c>
      <c r="Q2609" s="97">
        <v>43891</v>
      </c>
      <c r="R2609" s="14">
        <v>1455500</v>
      </c>
      <c r="S2609" s="14">
        <v>1979700</v>
      </c>
      <c r="T2609" s="21"/>
    </row>
    <row r="2610" spans="2:20" ht="12.75" hidden="1" customHeight="1" x14ac:dyDescent="0.25">
      <c r="B2610" s="89">
        <v>44025.083333333336</v>
      </c>
      <c r="C2610" s="90" t="s">
        <v>2464</v>
      </c>
      <c r="D2610" s="34"/>
      <c r="E2610" s="102">
        <v>8320000</v>
      </c>
      <c r="F2610" s="37"/>
      <c r="G2610" s="37">
        <f t="shared" si="489"/>
        <v>8320000</v>
      </c>
      <c r="H2610" s="64"/>
      <c r="I2610" s="64">
        <v>486681.59999999998</v>
      </c>
      <c r="J2610" s="64">
        <v>75388.19</v>
      </c>
      <c r="K2610" s="18">
        <f t="shared" si="490"/>
        <v>7757930.21</v>
      </c>
      <c r="L2610" s="19">
        <f t="shared" si="491"/>
        <v>68501333</v>
      </c>
      <c r="M2610" s="20"/>
      <c r="N2610" s="20"/>
      <c r="O2610" s="81"/>
      <c r="P2610" s="55">
        <v>9405614745</v>
      </c>
      <c r="Q2610" s="97">
        <v>43922</v>
      </c>
      <c r="R2610" s="14">
        <v>1455500</v>
      </c>
      <c r="S2610" s="14">
        <v>349400</v>
      </c>
      <c r="T2610" s="21"/>
    </row>
    <row r="2611" spans="2:20" ht="12.75" hidden="1" customHeight="1" x14ac:dyDescent="0.25">
      <c r="B2611" s="89">
        <v>44022.083333333336</v>
      </c>
      <c r="C2611" s="90" t="s">
        <v>2465</v>
      </c>
      <c r="D2611" s="34"/>
      <c r="E2611" s="102">
        <v>8320000</v>
      </c>
      <c r="F2611" s="37"/>
      <c r="G2611" s="37">
        <f t="shared" si="489"/>
        <v>8320000</v>
      </c>
      <c r="H2611" s="64"/>
      <c r="I2611" s="64">
        <v>486681.59999999998</v>
      </c>
      <c r="J2611" s="64">
        <v>75388.19</v>
      </c>
      <c r="K2611" s="18">
        <f t="shared" si="490"/>
        <v>7757930.21</v>
      </c>
      <c r="L2611" s="19">
        <f t="shared" si="491"/>
        <v>60181333</v>
      </c>
      <c r="M2611" s="20"/>
      <c r="N2611" s="20"/>
      <c r="O2611" s="81"/>
      <c r="P2611" s="55">
        <v>9406912281</v>
      </c>
      <c r="Q2611" s="97">
        <v>43952</v>
      </c>
      <c r="R2611" s="14">
        <v>1455500</v>
      </c>
      <c r="S2611" s="14">
        <v>349400</v>
      </c>
      <c r="T2611" s="21"/>
    </row>
    <row r="2612" spans="2:20" ht="12.75" hidden="1" customHeight="1" x14ac:dyDescent="0.25">
      <c r="B2612" s="89">
        <v>44022.083333333336</v>
      </c>
      <c r="C2612" s="90" t="s">
        <v>2466</v>
      </c>
      <c r="D2612" s="34"/>
      <c r="E2612" s="102">
        <v>8320000</v>
      </c>
      <c r="F2612" s="37"/>
      <c r="G2612" s="37">
        <f t="shared" si="489"/>
        <v>8320000</v>
      </c>
      <c r="H2612" s="64"/>
      <c r="I2612" s="64">
        <v>395827.21</v>
      </c>
      <c r="J2612" s="64">
        <v>71208.88</v>
      </c>
      <c r="K2612" s="18">
        <f t="shared" si="490"/>
        <v>7852963.9100000001</v>
      </c>
      <c r="L2612" s="19">
        <f t="shared" si="491"/>
        <v>51861333</v>
      </c>
      <c r="M2612" s="20"/>
      <c r="N2612" s="20"/>
      <c r="O2612" s="81"/>
      <c r="P2612" s="55">
        <v>9407814394</v>
      </c>
      <c r="Q2612" s="97">
        <v>43983</v>
      </c>
      <c r="R2612" s="14">
        <v>1455500</v>
      </c>
      <c r="S2612" s="14">
        <v>1979700</v>
      </c>
      <c r="T2612" s="21"/>
    </row>
    <row r="2613" spans="2:20" ht="12.75" hidden="1" customHeight="1" x14ac:dyDescent="0.25">
      <c r="B2613" s="89">
        <v>44056.083333333336</v>
      </c>
      <c r="C2613" s="90" t="s">
        <v>2467</v>
      </c>
      <c r="D2613" s="34"/>
      <c r="E2613" s="102">
        <v>8320000</v>
      </c>
      <c r="F2613" s="37"/>
      <c r="G2613" s="37">
        <f t="shared" si="489"/>
        <v>8320000</v>
      </c>
      <c r="H2613" s="64"/>
      <c r="I2613" s="64">
        <v>395827.21</v>
      </c>
      <c r="J2613" s="64">
        <v>71208.88</v>
      </c>
      <c r="K2613" s="18">
        <f t="shared" si="490"/>
        <v>7852963.9100000001</v>
      </c>
      <c r="L2613" s="19">
        <f t="shared" si="491"/>
        <v>43541333</v>
      </c>
      <c r="M2613" s="20"/>
      <c r="N2613" s="20"/>
      <c r="O2613" s="81"/>
      <c r="P2613" s="55">
        <v>9409229146</v>
      </c>
      <c r="Q2613" s="97">
        <v>44013</v>
      </c>
      <c r="R2613" s="14">
        <v>1455500</v>
      </c>
      <c r="S2613" s="14">
        <v>1979700</v>
      </c>
      <c r="T2613" s="21"/>
    </row>
    <row r="2614" spans="2:20" ht="12.75" hidden="1" customHeight="1" x14ac:dyDescent="0.25">
      <c r="B2614" s="89">
        <v>44082.083333333336</v>
      </c>
      <c r="C2614" s="90" t="s">
        <v>2468</v>
      </c>
      <c r="D2614" s="34"/>
      <c r="E2614" s="102">
        <v>8320000</v>
      </c>
      <c r="F2614" s="37"/>
      <c r="G2614" s="37">
        <f t="shared" si="489"/>
        <v>8320000</v>
      </c>
      <c r="H2614" s="64"/>
      <c r="I2614" s="64">
        <v>395827.21</v>
      </c>
      <c r="J2614" s="64">
        <v>71208.88</v>
      </c>
      <c r="K2614" s="18">
        <f t="shared" si="490"/>
        <v>7852963.9100000001</v>
      </c>
      <c r="L2614" s="19">
        <f t="shared" si="491"/>
        <v>35221333</v>
      </c>
      <c r="M2614" s="20"/>
      <c r="N2614" s="20"/>
      <c r="O2614" s="81"/>
      <c r="P2614" s="55">
        <v>9410381040</v>
      </c>
      <c r="Q2614" s="97">
        <v>44044</v>
      </c>
      <c r="R2614" s="14">
        <v>1455500</v>
      </c>
      <c r="S2614" s="14">
        <v>1979700</v>
      </c>
      <c r="T2614" s="21"/>
    </row>
    <row r="2615" spans="2:20" ht="12.75" hidden="1" customHeight="1" x14ac:dyDescent="0.25">
      <c r="B2615" s="89">
        <v>44113.083333333336</v>
      </c>
      <c r="C2615" s="90" t="s">
        <v>2469</v>
      </c>
      <c r="D2615" s="34"/>
      <c r="E2615" s="102">
        <v>8320000</v>
      </c>
      <c r="F2615" s="37"/>
      <c r="G2615" s="37">
        <f t="shared" si="489"/>
        <v>8320000</v>
      </c>
      <c r="H2615" s="64"/>
      <c r="I2615" s="64">
        <v>395827.21</v>
      </c>
      <c r="J2615" s="64">
        <v>71208.88</v>
      </c>
      <c r="K2615" s="18">
        <f t="shared" si="490"/>
        <v>7852963.9100000001</v>
      </c>
      <c r="L2615" s="19">
        <f t="shared" si="491"/>
        <v>26901333</v>
      </c>
      <c r="M2615" s="20"/>
      <c r="N2615" s="20"/>
      <c r="O2615" s="81"/>
      <c r="P2615" s="55">
        <v>9411385188</v>
      </c>
      <c r="Q2615" s="97">
        <v>44075</v>
      </c>
      <c r="R2615" s="14">
        <v>1455500</v>
      </c>
      <c r="S2615" s="14">
        <v>1979700</v>
      </c>
      <c r="T2615" s="21"/>
    </row>
    <row r="2616" spans="2:20" ht="12.75" hidden="1" customHeight="1" x14ac:dyDescent="0.25">
      <c r="B2616" s="89">
        <v>44141.125</v>
      </c>
      <c r="C2616" s="90" t="s">
        <v>2470</v>
      </c>
      <c r="D2616" s="34"/>
      <c r="E2616" s="102">
        <v>8320000</v>
      </c>
      <c r="F2616" s="37"/>
      <c r="G2616" s="37">
        <f t="shared" si="489"/>
        <v>8320000</v>
      </c>
      <c r="H2616" s="64"/>
      <c r="I2616" s="64">
        <v>395827.21</v>
      </c>
      <c r="J2616" s="64">
        <v>71208.88</v>
      </c>
      <c r="K2616" s="18">
        <f t="shared" si="490"/>
        <v>7852963.9100000001</v>
      </c>
      <c r="L2616" s="19">
        <f t="shared" si="491"/>
        <v>18581333</v>
      </c>
      <c r="M2616" s="20"/>
      <c r="N2616" s="20"/>
      <c r="O2616" s="81"/>
      <c r="P2616" s="55">
        <v>9412477662</v>
      </c>
      <c r="Q2616" s="97">
        <v>44105</v>
      </c>
      <c r="R2616" s="14">
        <v>1455500</v>
      </c>
      <c r="S2616" s="14">
        <v>1979700</v>
      </c>
      <c r="T2616" s="21"/>
    </row>
    <row r="2617" spans="2:20" ht="12.75" hidden="1" customHeight="1" x14ac:dyDescent="0.25">
      <c r="B2617" s="89">
        <v>44175.125</v>
      </c>
      <c r="C2617" s="90" t="s">
        <v>2471</v>
      </c>
      <c r="D2617" s="34"/>
      <c r="E2617" s="102">
        <v>8320000</v>
      </c>
      <c r="F2617" s="37"/>
      <c r="G2617" s="37">
        <f t="shared" si="489"/>
        <v>8320000</v>
      </c>
      <c r="H2617" s="64"/>
      <c r="I2617" s="64">
        <v>395827.21</v>
      </c>
      <c r="J2617" s="64">
        <v>71208.88</v>
      </c>
      <c r="K2617" s="18">
        <f t="shared" si="490"/>
        <v>7852963.9100000001</v>
      </c>
      <c r="L2617" s="19">
        <f t="shared" si="491"/>
        <v>10261333</v>
      </c>
      <c r="M2617" s="20"/>
      <c r="N2617" s="20"/>
      <c r="O2617" s="81"/>
      <c r="P2617" s="21">
        <v>9413890156</v>
      </c>
      <c r="Q2617" s="98">
        <v>44136</v>
      </c>
      <c r="R2617" s="14">
        <v>1455500</v>
      </c>
      <c r="S2617" s="14">
        <v>1979700</v>
      </c>
      <c r="T2617" s="21"/>
    </row>
    <row r="2618" spans="2:20" ht="12.75" hidden="1" customHeight="1" x14ac:dyDescent="0.25">
      <c r="B2618" s="89">
        <v>44188.125</v>
      </c>
      <c r="C2618" s="90" t="s">
        <v>2472</v>
      </c>
      <c r="D2618" s="34"/>
      <c r="E2618" s="102">
        <v>8320000</v>
      </c>
      <c r="F2618" s="37"/>
      <c r="G2618" s="37">
        <f t="shared" si="489"/>
        <v>8320000</v>
      </c>
      <c r="H2618" s="64"/>
      <c r="I2618" s="64">
        <v>395827.21</v>
      </c>
      <c r="J2618" s="64">
        <v>71208.88</v>
      </c>
      <c r="K2618" s="18">
        <f t="shared" si="490"/>
        <v>7852963.9100000001</v>
      </c>
      <c r="L2618" s="19">
        <f t="shared" si="491"/>
        <v>1941333</v>
      </c>
      <c r="M2618" s="20"/>
      <c r="N2618" s="20"/>
      <c r="O2618" s="81"/>
      <c r="P2618" s="55">
        <v>9413933768</v>
      </c>
      <c r="Q2618" s="97">
        <v>44166</v>
      </c>
      <c r="R2618" s="14">
        <v>1455500</v>
      </c>
      <c r="S2618" s="14">
        <v>1979700</v>
      </c>
      <c r="T2618" s="21"/>
    </row>
    <row r="2619" spans="2:20" ht="12.75" hidden="1" customHeight="1" x14ac:dyDescent="0.25">
      <c r="B2619" s="89"/>
      <c r="C2619" s="90" t="s">
        <v>654</v>
      </c>
      <c r="D2619" s="34"/>
      <c r="E2619" s="102">
        <v>1941333</v>
      </c>
      <c r="F2619" s="37"/>
      <c r="G2619" s="37">
        <f t="shared" si="489"/>
        <v>1941333</v>
      </c>
      <c r="H2619" s="64"/>
      <c r="I2619" s="64"/>
      <c r="J2619" s="64"/>
      <c r="K2619" s="18">
        <f t="shared" si="490"/>
        <v>1941333</v>
      </c>
      <c r="L2619" s="19">
        <f t="shared" si="491"/>
        <v>0</v>
      </c>
      <c r="M2619" s="20"/>
      <c r="N2619" s="20"/>
      <c r="O2619" s="81"/>
      <c r="P2619" s="55"/>
      <c r="Q2619" s="97"/>
      <c r="R2619" s="14"/>
      <c r="S2619" s="14"/>
      <c r="T2619" s="21"/>
    </row>
    <row r="2620" spans="2:20" ht="15" hidden="1" x14ac:dyDescent="0.25">
      <c r="B2620" s="9" t="s">
        <v>2473</v>
      </c>
      <c r="C2620" s="10"/>
      <c r="D2620" s="11">
        <v>100996667</v>
      </c>
      <c r="E2620" s="11">
        <f>+D2620</f>
        <v>100996667</v>
      </c>
      <c r="F2620" s="11"/>
      <c r="G2620" s="11"/>
      <c r="H2620" s="11"/>
      <c r="I2620" s="11"/>
      <c r="J2620" s="11"/>
      <c r="K2620" s="11"/>
      <c r="L2620" s="11">
        <f>+D2620</f>
        <v>100996667</v>
      </c>
      <c r="M2620" s="12"/>
      <c r="N2620" s="12"/>
      <c r="P2620" s="55"/>
      <c r="Q2620" s="55"/>
      <c r="R2620" s="14"/>
      <c r="S2620" s="14"/>
      <c r="T2620" s="21"/>
    </row>
    <row r="2621" spans="2:20" ht="15.6" hidden="1" customHeight="1" x14ac:dyDescent="0.25">
      <c r="B2621" s="89">
        <v>44021.083333333336</v>
      </c>
      <c r="C2621" s="92" t="s">
        <v>2474</v>
      </c>
      <c r="D2621" s="34"/>
      <c r="E2621" s="102">
        <v>5592000</v>
      </c>
      <c r="F2621" s="37"/>
      <c r="G2621" s="37">
        <f t="shared" ref="G2621:G2632" si="492">+E2621</f>
        <v>5592000</v>
      </c>
      <c r="H2621" s="64"/>
      <c r="I2621" s="64">
        <v>77290.87</v>
      </c>
      <c r="J2621" s="64">
        <v>48921.25</v>
      </c>
      <c r="K2621" s="18">
        <f t="shared" ref="K2621:K2632" si="493">+G2621-H2621-I2621-J2621</f>
        <v>5465787.8799999999</v>
      </c>
      <c r="L2621" s="19">
        <f t="shared" ref="L2621:L2632" si="494">+L2620-G2621</f>
        <v>95404667</v>
      </c>
      <c r="M2621" s="20"/>
      <c r="N2621" s="20"/>
      <c r="O2621" s="81">
        <f>+L2632-'[1]ANEXO 7 - PPTO VIG 2020'!T85</f>
        <v>0</v>
      </c>
      <c r="P2621" s="55">
        <v>43116336</v>
      </c>
      <c r="Q2621" s="97">
        <v>43862</v>
      </c>
      <c r="R2621" s="14">
        <f>180000+109800</f>
        <v>289800</v>
      </c>
      <c r="S2621" s="14">
        <v>357900</v>
      </c>
      <c r="T2621" s="21"/>
    </row>
    <row r="2622" spans="2:20" ht="15.6" hidden="1" customHeight="1" x14ac:dyDescent="0.25">
      <c r="B2622" s="89">
        <v>44021.083333333336</v>
      </c>
      <c r="C2622" s="92" t="s">
        <v>2474</v>
      </c>
      <c r="D2622" s="34"/>
      <c r="E2622" s="102">
        <v>9320000</v>
      </c>
      <c r="F2622" s="37"/>
      <c r="G2622" s="37">
        <f t="shared" si="492"/>
        <v>9320000</v>
      </c>
      <c r="H2622" s="64"/>
      <c r="I2622" s="64">
        <v>582731.41</v>
      </c>
      <c r="J2622" s="64">
        <v>79767.64</v>
      </c>
      <c r="K2622" s="18">
        <f t="shared" si="493"/>
        <v>8657500.9499999993</v>
      </c>
      <c r="L2622" s="19">
        <f t="shared" si="494"/>
        <v>86084667</v>
      </c>
      <c r="M2622" s="20"/>
      <c r="N2622" s="20"/>
      <c r="O2622" s="81"/>
      <c r="P2622" s="55">
        <v>43116581</v>
      </c>
      <c r="Q2622" s="97">
        <v>43891</v>
      </c>
      <c r="R2622" s="14">
        <v>466000</v>
      </c>
      <c r="S2622" s="14">
        <v>633900</v>
      </c>
      <c r="T2622" s="21"/>
    </row>
    <row r="2623" spans="2:20" ht="15.6" hidden="1" customHeight="1" x14ac:dyDescent="0.25">
      <c r="B2623" s="89">
        <v>44040.083333333336</v>
      </c>
      <c r="C2623" s="92" t="s">
        <v>2475</v>
      </c>
      <c r="D2623" s="34"/>
      <c r="E2623" s="102">
        <v>9320000</v>
      </c>
      <c r="F2623" s="37"/>
      <c r="G2623" s="37">
        <f t="shared" si="492"/>
        <v>9320000</v>
      </c>
      <c r="H2623" s="64"/>
      <c r="I2623" s="64">
        <v>294400.99</v>
      </c>
      <c r="J2623" s="64">
        <v>79767.64</v>
      </c>
      <c r="K2623" s="18">
        <f t="shared" si="493"/>
        <v>8945831.3699999992</v>
      </c>
      <c r="L2623" s="19">
        <f t="shared" si="494"/>
        <v>76764667</v>
      </c>
      <c r="M2623" s="20"/>
      <c r="N2623" s="20"/>
      <c r="O2623" s="81"/>
      <c r="P2623" s="55">
        <v>644985369</v>
      </c>
      <c r="Q2623" s="97">
        <v>43922</v>
      </c>
      <c r="R2623" s="14">
        <v>466000</v>
      </c>
      <c r="S2623" s="14">
        <v>633900</v>
      </c>
      <c r="T2623" s="21"/>
    </row>
    <row r="2624" spans="2:20" ht="15.6" hidden="1" customHeight="1" x14ac:dyDescent="0.25">
      <c r="B2624" s="89">
        <v>44064.083333333336</v>
      </c>
      <c r="C2624" s="92" t="s">
        <v>2476</v>
      </c>
      <c r="D2624" s="34"/>
      <c r="E2624" s="102">
        <v>9320000</v>
      </c>
      <c r="F2624" s="37"/>
      <c r="G2624" s="37">
        <f t="shared" si="492"/>
        <v>9320000</v>
      </c>
      <c r="H2624" s="64"/>
      <c r="I2624" s="64">
        <v>582731.41</v>
      </c>
      <c r="J2624" s="64">
        <v>79767.64</v>
      </c>
      <c r="K2624" s="18">
        <f t="shared" si="493"/>
        <v>8657500.9499999993</v>
      </c>
      <c r="L2624" s="19">
        <f t="shared" si="494"/>
        <v>67444667</v>
      </c>
      <c r="M2624" s="20"/>
      <c r="N2624" s="20"/>
      <c r="O2624" s="81"/>
      <c r="P2624" s="126">
        <v>642728948</v>
      </c>
      <c r="Q2624" s="127">
        <v>43952</v>
      </c>
      <c r="R2624" s="29">
        <v>466000</v>
      </c>
      <c r="S2624" s="29">
        <v>633900</v>
      </c>
      <c r="T2624" s="21"/>
    </row>
    <row r="2625" spans="2:20" ht="15.6" hidden="1" customHeight="1" x14ac:dyDescent="0.25">
      <c r="B2625" s="89">
        <v>44091.083333333336</v>
      </c>
      <c r="C2625" s="92" t="s">
        <v>2477</v>
      </c>
      <c r="D2625" s="34"/>
      <c r="E2625" s="102">
        <v>9320000</v>
      </c>
      <c r="F2625" s="37"/>
      <c r="G2625" s="37">
        <f t="shared" si="492"/>
        <v>9320000</v>
      </c>
      <c r="H2625" s="64"/>
      <c r="I2625" s="64">
        <v>582731.41</v>
      </c>
      <c r="J2625" s="64">
        <v>79767.64</v>
      </c>
      <c r="K2625" s="18">
        <f t="shared" si="493"/>
        <v>8657500.9499999993</v>
      </c>
      <c r="L2625" s="19">
        <f t="shared" si="494"/>
        <v>58124667</v>
      </c>
      <c r="M2625" s="20"/>
      <c r="N2625" s="20"/>
      <c r="O2625" s="81"/>
      <c r="P2625" s="126">
        <v>43740742</v>
      </c>
      <c r="Q2625" s="127">
        <v>43983</v>
      </c>
      <c r="R2625" s="29">
        <v>466000</v>
      </c>
      <c r="S2625" s="29">
        <v>633900</v>
      </c>
      <c r="T2625" s="21"/>
    </row>
    <row r="2626" spans="2:20" ht="15.6" hidden="1" customHeight="1" x14ac:dyDescent="0.25">
      <c r="B2626" s="89">
        <v>44112.083333333336</v>
      </c>
      <c r="C2626" s="92" t="s">
        <v>2478</v>
      </c>
      <c r="D2626" s="34"/>
      <c r="E2626" s="102">
        <v>9320000</v>
      </c>
      <c r="F2626" s="37"/>
      <c r="G2626" s="37">
        <f t="shared" si="492"/>
        <v>9320000</v>
      </c>
      <c r="H2626" s="64"/>
      <c r="I2626" s="64">
        <v>580610.41</v>
      </c>
      <c r="J2626" s="64">
        <v>79767.64</v>
      </c>
      <c r="K2626" s="18">
        <f t="shared" si="493"/>
        <v>8659621.9499999993</v>
      </c>
      <c r="L2626" s="19">
        <f t="shared" si="494"/>
        <v>48804667</v>
      </c>
      <c r="M2626" s="20"/>
      <c r="N2626" s="20"/>
      <c r="O2626" s="81"/>
      <c r="P2626" s="126">
        <v>45182232</v>
      </c>
      <c r="Q2626" s="127">
        <v>44013</v>
      </c>
      <c r="R2626" s="29">
        <v>708600</v>
      </c>
      <c r="S2626" s="29">
        <v>963700</v>
      </c>
      <c r="T2626" s="21"/>
    </row>
    <row r="2627" spans="2:20" ht="15.6" hidden="1" customHeight="1" x14ac:dyDescent="0.25">
      <c r="B2627" s="89">
        <v>44148.125</v>
      </c>
      <c r="C2627" s="92" t="s">
        <v>2479</v>
      </c>
      <c r="D2627" s="34"/>
      <c r="E2627" s="102">
        <v>9320000</v>
      </c>
      <c r="F2627" s="37"/>
      <c r="G2627" s="37">
        <f t="shared" si="492"/>
        <v>9320000</v>
      </c>
      <c r="H2627" s="64"/>
      <c r="I2627" s="64">
        <v>578741.4</v>
      </c>
      <c r="J2627" s="64">
        <v>79767.64</v>
      </c>
      <c r="K2627" s="18">
        <f t="shared" si="493"/>
        <v>8661490.959999999</v>
      </c>
      <c r="L2627" s="19">
        <f t="shared" si="494"/>
        <v>39484667</v>
      </c>
      <c r="M2627" s="20"/>
      <c r="N2627" s="20"/>
      <c r="O2627" s="81"/>
      <c r="P2627" s="126">
        <v>45182497</v>
      </c>
      <c r="Q2627" s="127">
        <v>44044</v>
      </c>
      <c r="R2627" s="29">
        <v>920700</v>
      </c>
      <c r="S2627" s="29">
        <v>1252300</v>
      </c>
      <c r="T2627" s="21"/>
    </row>
    <row r="2628" spans="2:20" ht="15.6" hidden="1" customHeight="1" x14ac:dyDescent="0.25">
      <c r="B2628" s="89">
        <v>44161.125</v>
      </c>
      <c r="C2628" s="92" t="s">
        <v>2480</v>
      </c>
      <c r="D2628" s="34"/>
      <c r="E2628" s="102">
        <v>9320000</v>
      </c>
      <c r="F2628" s="37"/>
      <c r="G2628" s="37">
        <f t="shared" si="492"/>
        <v>9320000</v>
      </c>
      <c r="H2628" s="64"/>
      <c r="I2628" s="64">
        <v>578741.4</v>
      </c>
      <c r="J2628" s="64">
        <v>79767.64</v>
      </c>
      <c r="K2628" s="18">
        <f t="shared" si="493"/>
        <v>8661490.959999999</v>
      </c>
      <c r="L2628" s="19">
        <f t="shared" si="494"/>
        <v>30164667</v>
      </c>
      <c r="M2628" s="20"/>
      <c r="N2628" s="20"/>
      <c r="O2628" s="81"/>
      <c r="P2628" s="126">
        <v>767440832</v>
      </c>
      <c r="Q2628" s="127">
        <v>44075</v>
      </c>
      <c r="R2628" s="29">
        <v>920700</v>
      </c>
      <c r="S2628" s="29">
        <v>1252300</v>
      </c>
      <c r="T2628" s="21"/>
    </row>
    <row r="2629" spans="2:20" ht="15.6" hidden="1" customHeight="1" x14ac:dyDescent="0.25">
      <c r="B2629" s="89">
        <v>44189.125</v>
      </c>
      <c r="C2629" s="92" t="s">
        <v>2481</v>
      </c>
      <c r="D2629" s="34"/>
      <c r="E2629" s="102">
        <v>9320000</v>
      </c>
      <c r="F2629" s="37"/>
      <c r="G2629" s="37">
        <f t="shared" si="492"/>
        <v>9320000</v>
      </c>
      <c r="H2629" s="64"/>
      <c r="I2629" s="64">
        <v>578741.4</v>
      </c>
      <c r="J2629" s="64">
        <v>79767.64</v>
      </c>
      <c r="K2629" s="18">
        <f t="shared" si="493"/>
        <v>8661490.959999999</v>
      </c>
      <c r="L2629" s="19">
        <f t="shared" si="494"/>
        <v>20844667</v>
      </c>
      <c r="M2629" s="20"/>
      <c r="N2629" s="20"/>
      <c r="O2629" s="81"/>
      <c r="P2629" s="126">
        <v>802430356</v>
      </c>
      <c r="Q2629" s="127">
        <v>44105</v>
      </c>
      <c r="R2629" s="29">
        <v>920700</v>
      </c>
      <c r="S2629" s="29">
        <v>1252300</v>
      </c>
      <c r="T2629" s="21"/>
    </row>
    <row r="2630" spans="2:20" ht="15.6" hidden="1" customHeight="1" x14ac:dyDescent="0.25">
      <c r="B2630" s="89">
        <v>44189.125</v>
      </c>
      <c r="C2630" s="92" t="s">
        <v>2482</v>
      </c>
      <c r="D2630" s="34"/>
      <c r="E2630" s="102">
        <v>9320000</v>
      </c>
      <c r="F2630" s="37"/>
      <c r="G2630" s="37">
        <f t="shared" si="492"/>
        <v>9320000</v>
      </c>
      <c r="H2630" s="64"/>
      <c r="I2630" s="64">
        <v>581660.39</v>
      </c>
      <c r="J2630" s="64">
        <v>79767.64</v>
      </c>
      <c r="K2630" s="18">
        <f t="shared" si="493"/>
        <v>8658571.9699999988</v>
      </c>
      <c r="L2630" s="19">
        <f t="shared" si="494"/>
        <v>11524667</v>
      </c>
      <c r="M2630" s="20"/>
      <c r="N2630" s="20"/>
      <c r="O2630" s="81"/>
      <c r="P2630" s="126">
        <v>47093545</v>
      </c>
      <c r="Q2630" s="127">
        <v>44136</v>
      </c>
      <c r="R2630" s="29">
        <v>587300</v>
      </c>
      <c r="S2630" s="29">
        <v>798700</v>
      </c>
      <c r="T2630" s="21"/>
    </row>
    <row r="2631" spans="2:20" ht="15.6" hidden="1" customHeight="1" x14ac:dyDescent="0.25">
      <c r="B2631" s="89">
        <v>44188.125</v>
      </c>
      <c r="C2631" s="92" t="s">
        <v>2483</v>
      </c>
      <c r="D2631" s="34"/>
      <c r="E2631" s="102">
        <v>9320000</v>
      </c>
      <c r="F2631" s="37"/>
      <c r="G2631" s="37">
        <f t="shared" si="492"/>
        <v>9320000</v>
      </c>
      <c r="H2631" s="64"/>
      <c r="I2631" s="64">
        <v>582731.41</v>
      </c>
      <c r="J2631" s="64">
        <v>79767.64</v>
      </c>
      <c r="K2631" s="18">
        <f t="shared" si="493"/>
        <v>8657500.9499999993</v>
      </c>
      <c r="L2631" s="19">
        <f t="shared" si="494"/>
        <v>2204667</v>
      </c>
      <c r="M2631" s="20"/>
      <c r="N2631" s="20"/>
      <c r="O2631" s="81"/>
      <c r="P2631" s="126">
        <v>47311523</v>
      </c>
      <c r="Q2631" s="127">
        <v>44166</v>
      </c>
      <c r="R2631" s="29">
        <v>466000</v>
      </c>
      <c r="S2631" s="29">
        <v>633900</v>
      </c>
      <c r="T2631" s="21"/>
    </row>
    <row r="2632" spans="2:20" ht="15.6" hidden="1" customHeight="1" x14ac:dyDescent="0.25">
      <c r="B2632" s="89"/>
      <c r="C2632" s="92" t="s">
        <v>654</v>
      </c>
      <c r="D2632" s="34"/>
      <c r="E2632" s="102">
        <v>2204667</v>
      </c>
      <c r="F2632" s="37"/>
      <c r="G2632" s="37">
        <f t="shared" si="492"/>
        <v>2204667</v>
      </c>
      <c r="H2632" s="64"/>
      <c r="I2632" s="64"/>
      <c r="J2632" s="64"/>
      <c r="K2632" s="18">
        <f t="shared" si="493"/>
        <v>2204667</v>
      </c>
      <c r="L2632" s="19">
        <f t="shared" si="494"/>
        <v>0</v>
      </c>
      <c r="M2632" s="20"/>
      <c r="N2632" s="20"/>
      <c r="O2632" s="81"/>
      <c r="P2632" s="126"/>
      <c r="Q2632" s="127"/>
      <c r="R2632" s="29"/>
      <c r="S2632" s="29"/>
      <c r="T2632" s="21"/>
    </row>
    <row r="2633" spans="2:20" ht="15" hidden="1" x14ac:dyDescent="0.25">
      <c r="B2633" s="9" t="s">
        <v>2484</v>
      </c>
      <c r="C2633" s="10"/>
      <c r="D2633" s="11">
        <v>32760000</v>
      </c>
      <c r="E2633" s="11">
        <f>+D2633</f>
        <v>32760000</v>
      </c>
      <c r="F2633" s="11"/>
      <c r="G2633" s="11"/>
      <c r="H2633" s="11"/>
      <c r="I2633" s="11"/>
      <c r="J2633" s="11"/>
      <c r="K2633" s="11"/>
      <c r="L2633" s="11">
        <f>+D2633</f>
        <v>32760000</v>
      </c>
      <c r="M2633" s="12"/>
      <c r="N2633" s="12"/>
      <c r="P2633" s="55"/>
      <c r="Q2633" s="55"/>
      <c r="R2633" s="14"/>
      <c r="S2633" s="14"/>
      <c r="T2633" s="21"/>
    </row>
    <row r="2634" spans="2:20" ht="12.75" hidden="1" customHeight="1" x14ac:dyDescent="0.25">
      <c r="B2634" s="89">
        <v>43958.083333333336</v>
      </c>
      <c r="C2634" s="90" t="s">
        <v>2485</v>
      </c>
      <c r="D2634" s="34"/>
      <c r="E2634" s="102">
        <v>3397333</v>
      </c>
      <c r="F2634" s="37"/>
      <c r="G2634" s="37">
        <f>+E2634</f>
        <v>3397333</v>
      </c>
      <c r="H2634" s="64"/>
      <c r="I2634" s="64"/>
      <c r="J2634" s="64">
        <v>29076.959999999999</v>
      </c>
      <c r="K2634" s="18">
        <f t="shared" ref="K2634:K2639" si="495">+G2634-H2634-I2634-J2634</f>
        <v>3368256.04</v>
      </c>
      <c r="L2634" s="19">
        <f t="shared" ref="L2634:L2639" si="496">+L2633-G2634</f>
        <v>29362667</v>
      </c>
      <c r="M2634" s="20"/>
      <c r="N2634" s="20"/>
      <c r="O2634" s="81">
        <f>+L2643-'[1]ANEXO 7 - PPTO VIG 2020'!T86</f>
        <v>0</v>
      </c>
      <c r="P2634" s="55">
        <v>42107909</v>
      </c>
      <c r="Q2634" s="97">
        <v>43922</v>
      </c>
      <c r="R2634" s="14">
        <v>182000</v>
      </c>
      <c r="S2634" s="14">
        <v>233000</v>
      </c>
      <c r="T2634" s="21"/>
    </row>
    <row r="2635" spans="2:20" ht="12.75" hidden="1" customHeight="1" x14ac:dyDescent="0.25">
      <c r="B2635" s="89">
        <v>43999.083333333336</v>
      </c>
      <c r="C2635" s="90" t="s">
        <v>2486</v>
      </c>
      <c r="D2635" s="34"/>
      <c r="E2635" s="102">
        <v>3640000</v>
      </c>
      <c r="F2635" s="37"/>
      <c r="G2635" s="37">
        <f t="shared" ref="G2635:G2643" si="497">+E2635</f>
        <v>3640000</v>
      </c>
      <c r="H2635" s="64"/>
      <c r="I2635" s="64"/>
      <c r="J2635" s="64">
        <v>35162.400000000001</v>
      </c>
      <c r="K2635" s="18">
        <f t="shared" si="495"/>
        <v>3604837.6</v>
      </c>
      <c r="L2635" s="19">
        <f t="shared" si="496"/>
        <v>25722667</v>
      </c>
      <c r="M2635" s="20"/>
      <c r="N2635" s="20"/>
      <c r="O2635" s="81"/>
      <c r="P2635" s="55">
        <v>43508018</v>
      </c>
      <c r="Q2635" s="97">
        <v>43952</v>
      </c>
      <c r="R2635" s="14">
        <v>182000</v>
      </c>
      <c r="S2635" s="14">
        <v>43700</v>
      </c>
      <c r="T2635" s="21"/>
    </row>
    <row r="2636" spans="2:20" ht="12.75" hidden="1" customHeight="1" x14ac:dyDescent="0.25">
      <c r="B2636" s="89">
        <v>44020.083333333336</v>
      </c>
      <c r="C2636" s="90" t="s">
        <v>2487</v>
      </c>
      <c r="D2636" s="34"/>
      <c r="E2636" s="102">
        <v>3640000</v>
      </c>
      <c r="F2636" s="37"/>
      <c r="G2636" s="37">
        <f t="shared" si="497"/>
        <v>3640000</v>
      </c>
      <c r="H2636" s="64"/>
      <c r="I2636" s="64"/>
      <c r="J2636" s="91">
        <v>32982.33</v>
      </c>
      <c r="K2636" s="18">
        <f t="shared" si="495"/>
        <v>3607017.67</v>
      </c>
      <c r="L2636" s="19">
        <f t="shared" si="496"/>
        <v>22082667</v>
      </c>
      <c r="M2636" s="20"/>
      <c r="N2636" s="20"/>
      <c r="O2636" s="81"/>
      <c r="P2636" s="55">
        <v>44031546</v>
      </c>
      <c r="Q2636" s="97">
        <v>43983</v>
      </c>
      <c r="R2636" s="14">
        <v>182000</v>
      </c>
      <c r="S2636" s="14">
        <v>233000</v>
      </c>
      <c r="T2636" s="21"/>
    </row>
    <row r="2637" spans="2:20" ht="12.75" hidden="1" customHeight="1" x14ac:dyDescent="0.25">
      <c r="B2637" s="89">
        <v>44053.083333333336</v>
      </c>
      <c r="C2637" s="90" t="s">
        <v>2488</v>
      </c>
      <c r="D2637" s="34"/>
      <c r="E2637" s="102">
        <v>3640000</v>
      </c>
      <c r="F2637" s="37"/>
      <c r="G2637" s="37">
        <f t="shared" si="497"/>
        <v>3640000</v>
      </c>
      <c r="H2637" s="64"/>
      <c r="I2637" s="64"/>
      <c r="J2637" s="91">
        <v>31153.89</v>
      </c>
      <c r="K2637" s="18">
        <f t="shared" si="495"/>
        <v>3608846.11</v>
      </c>
      <c r="L2637" s="19">
        <f t="shared" si="496"/>
        <v>18442667</v>
      </c>
      <c r="M2637" s="20"/>
      <c r="N2637" s="20"/>
      <c r="O2637" s="81"/>
      <c r="P2637" s="55">
        <v>44714560</v>
      </c>
      <c r="Q2637" s="97">
        <v>44013</v>
      </c>
      <c r="R2637" s="14">
        <v>182000</v>
      </c>
      <c r="S2637" s="14">
        <v>233000</v>
      </c>
      <c r="T2637" s="21"/>
    </row>
    <row r="2638" spans="2:20" ht="12.75" hidden="1" customHeight="1" x14ac:dyDescent="0.25">
      <c r="B2638" s="89">
        <v>44076.083333333336</v>
      </c>
      <c r="C2638" s="90" t="s">
        <v>2489</v>
      </c>
      <c r="D2638" s="34"/>
      <c r="E2638" s="102">
        <v>3640000</v>
      </c>
      <c r="F2638" s="37"/>
      <c r="G2638" s="37">
        <f t="shared" si="497"/>
        <v>3640000</v>
      </c>
      <c r="H2638" s="64"/>
      <c r="I2638" s="64"/>
      <c r="J2638" s="91">
        <v>31153.89</v>
      </c>
      <c r="K2638" s="18">
        <f t="shared" si="495"/>
        <v>3608846.11</v>
      </c>
      <c r="L2638" s="19">
        <f t="shared" si="496"/>
        <v>14802667</v>
      </c>
      <c r="M2638" s="20"/>
      <c r="N2638" s="20"/>
      <c r="O2638" s="81"/>
      <c r="P2638" s="55">
        <v>45321885</v>
      </c>
      <c r="Q2638" s="97">
        <v>44044</v>
      </c>
      <c r="R2638" s="14">
        <v>182000</v>
      </c>
      <c r="S2638" s="14">
        <v>233000</v>
      </c>
      <c r="T2638" s="21"/>
    </row>
    <row r="2639" spans="2:20" ht="12.75" hidden="1" customHeight="1" x14ac:dyDescent="0.25">
      <c r="B2639" s="89">
        <v>44113.083333333336</v>
      </c>
      <c r="C2639" s="90" t="s">
        <v>2490</v>
      </c>
      <c r="D2639" s="34"/>
      <c r="E2639" s="102">
        <v>3640000</v>
      </c>
      <c r="F2639" s="37"/>
      <c r="G2639" s="37">
        <f t="shared" si="497"/>
        <v>3640000</v>
      </c>
      <c r="H2639" s="64"/>
      <c r="I2639" s="64"/>
      <c r="J2639" s="91">
        <v>31153.89</v>
      </c>
      <c r="K2639" s="18">
        <f t="shared" si="495"/>
        <v>3608846.11</v>
      </c>
      <c r="L2639" s="19">
        <f t="shared" si="496"/>
        <v>11162667</v>
      </c>
      <c r="M2639" s="20"/>
      <c r="N2639" s="20"/>
      <c r="O2639" s="81"/>
      <c r="P2639" s="55">
        <v>45963437</v>
      </c>
      <c r="Q2639" s="97">
        <v>44075</v>
      </c>
      <c r="R2639" s="14">
        <v>182000</v>
      </c>
      <c r="S2639" s="14">
        <v>233000</v>
      </c>
      <c r="T2639" s="21"/>
    </row>
    <row r="2640" spans="2:20" ht="12.75" hidden="1" customHeight="1" x14ac:dyDescent="0.25">
      <c r="B2640" s="89">
        <v>44147.125</v>
      </c>
      <c r="C2640" s="90" t="s">
        <v>2491</v>
      </c>
      <c r="D2640" s="34"/>
      <c r="E2640" s="102">
        <v>3640000</v>
      </c>
      <c r="F2640" s="37"/>
      <c r="G2640" s="37">
        <f t="shared" si="497"/>
        <v>3640000</v>
      </c>
      <c r="H2640" s="64"/>
      <c r="I2640" s="64"/>
      <c r="J2640" s="91">
        <v>31153.89</v>
      </c>
      <c r="K2640" s="18">
        <f>+G2640-H2640-I2640-J2640</f>
        <v>3608846.11</v>
      </c>
      <c r="L2640" s="19">
        <f>+L2639-G2640</f>
        <v>7522667</v>
      </c>
      <c r="M2640" s="20"/>
      <c r="N2640" s="20"/>
      <c r="O2640" s="81"/>
      <c r="P2640" s="55">
        <v>46663737</v>
      </c>
      <c r="Q2640" s="97">
        <v>44105</v>
      </c>
      <c r="R2640" s="14">
        <v>182000</v>
      </c>
      <c r="S2640" s="14">
        <v>233000</v>
      </c>
      <c r="T2640" s="21"/>
    </row>
    <row r="2641" spans="2:20" ht="12.75" hidden="1" customHeight="1" x14ac:dyDescent="0.25">
      <c r="B2641" s="89">
        <v>44175.125</v>
      </c>
      <c r="C2641" s="90" t="s">
        <v>2492</v>
      </c>
      <c r="D2641" s="34"/>
      <c r="E2641" s="102">
        <v>3640000</v>
      </c>
      <c r="F2641" s="37"/>
      <c r="G2641" s="37">
        <f t="shared" si="497"/>
        <v>3640000</v>
      </c>
      <c r="H2641" s="64"/>
      <c r="I2641" s="64"/>
      <c r="J2641" s="91">
        <v>31153.89</v>
      </c>
      <c r="K2641" s="18">
        <f>+G2641-H2641-I2641-J2641</f>
        <v>3608846.11</v>
      </c>
      <c r="L2641" s="19">
        <f>+L2640-G2641</f>
        <v>3882667</v>
      </c>
      <c r="M2641" s="20"/>
      <c r="N2641" s="20"/>
      <c r="O2641" s="81"/>
      <c r="P2641" s="55">
        <v>47304990</v>
      </c>
      <c r="Q2641" s="97">
        <v>44136</v>
      </c>
      <c r="R2641" s="14">
        <v>182000</v>
      </c>
      <c r="S2641" s="14">
        <v>233000</v>
      </c>
      <c r="T2641" s="21"/>
    </row>
    <row r="2642" spans="2:20" ht="12.75" hidden="1" customHeight="1" x14ac:dyDescent="0.25">
      <c r="B2642" s="89">
        <v>44194.125</v>
      </c>
      <c r="C2642" s="90" t="s">
        <v>2493</v>
      </c>
      <c r="D2642" s="34"/>
      <c r="E2642" s="102">
        <v>3640000</v>
      </c>
      <c r="F2642" s="37"/>
      <c r="G2642" s="37">
        <f t="shared" si="497"/>
        <v>3640000</v>
      </c>
      <c r="H2642" s="64"/>
      <c r="I2642" s="64"/>
      <c r="J2642" s="91">
        <v>31153.89</v>
      </c>
      <c r="K2642" s="18">
        <f>+G2642-H2642-I2642-J2642</f>
        <v>3608846.11</v>
      </c>
      <c r="L2642" s="19">
        <f>+L2641-G2642</f>
        <v>242667</v>
      </c>
      <c r="M2642" s="20"/>
      <c r="N2642" s="20"/>
      <c r="O2642" s="81"/>
      <c r="P2642" s="55"/>
      <c r="Q2642" s="97"/>
      <c r="R2642" s="14"/>
      <c r="S2642" s="14"/>
      <c r="T2642" s="21"/>
    </row>
    <row r="2643" spans="2:20" ht="12.75" hidden="1" customHeight="1" x14ac:dyDescent="0.25">
      <c r="B2643" s="89"/>
      <c r="C2643" s="90" t="s">
        <v>2047</v>
      </c>
      <c r="D2643" s="34"/>
      <c r="E2643" s="102">
        <v>242667</v>
      </c>
      <c r="F2643" s="37"/>
      <c r="G2643" s="37">
        <f t="shared" si="497"/>
        <v>242667</v>
      </c>
      <c r="H2643" s="64"/>
      <c r="I2643" s="64"/>
      <c r="J2643" s="91"/>
      <c r="K2643" s="18">
        <f>+G2643-H2643-I2643-J2643</f>
        <v>242667</v>
      </c>
      <c r="L2643" s="19">
        <f>+L2642-G2643</f>
        <v>0</v>
      </c>
      <c r="M2643" s="20"/>
      <c r="N2643" s="20"/>
      <c r="O2643" s="81"/>
      <c r="P2643" s="55">
        <v>47318215</v>
      </c>
      <c r="Q2643" s="97">
        <v>44166</v>
      </c>
      <c r="R2643" s="14">
        <v>182000</v>
      </c>
      <c r="S2643" s="14">
        <v>233000</v>
      </c>
      <c r="T2643" s="21"/>
    </row>
    <row r="2644" spans="2:20" ht="15" hidden="1" x14ac:dyDescent="0.25">
      <c r="B2644" s="9" t="s">
        <v>2494</v>
      </c>
      <c r="C2644" s="10"/>
      <c r="D2644" s="11">
        <v>75816000</v>
      </c>
      <c r="E2644" s="11">
        <f>+D2644</f>
        <v>75816000</v>
      </c>
      <c r="F2644" s="11"/>
      <c r="G2644" s="11"/>
      <c r="H2644" s="11"/>
      <c r="I2644" s="11"/>
      <c r="J2644" s="11"/>
      <c r="K2644" s="11"/>
      <c r="L2644" s="11">
        <f>+D2644</f>
        <v>75816000</v>
      </c>
      <c r="M2644" s="12"/>
      <c r="N2644" s="12"/>
      <c r="P2644" s="55"/>
      <c r="Q2644" s="55"/>
      <c r="R2644" s="14"/>
      <c r="S2644" s="14"/>
      <c r="T2644" s="21"/>
    </row>
    <row r="2645" spans="2:20" ht="12.75" hidden="1" customHeight="1" x14ac:dyDescent="0.25">
      <c r="B2645" s="89">
        <v>43977.083333333336</v>
      </c>
      <c r="C2645" s="90" t="s">
        <v>2495</v>
      </c>
      <c r="D2645" s="34"/>
      <c r="E2645" s="102">
        <v>936000</v>
      </c>
      <c r="F2645" s="37"/>
      <c r="G2645" s="37">
        <f>+E2645</f>
        <v>936000</v>
      </c>
      <c r="H2645" s="64"/>
      <c r="I2645" s="64"/>
      <c r="J2645" s="64">
        <v>8011</v>
      </c>
      <c r="K2645" s="18">
        <f t="shared" ref="K2645:K2650" si="498">+G2645-H2645-I2645-J2645</f>
        <v>927989</v>
      </c>
      <c r="L2645" s="19">
        <f t="shared" ref="L2645:L2650" si="499">+L2644-G2645</f>
        <v>74880000</v>
      </c>
      <c r="M2645" s="20"/>
      <c r="N2645" s="20"/>
      <c r="O2645" s="81">
        <f>+L2653-'[1]ANEXO 7 - PPTO VIG 2020'!T109</f>
        <v>0</v>
      </c>
      <c r="P2645" s="55" t="s">
        <v>2496</v>
      </c>
      <c r="Q2645" s="97">
        <v>43922</v>
      </c>
      <c r="R2645" s="14">
        <v>60000</v>
      </c>
      <c r="S2645" s="14">
        <v>240000</v>
      </c>
      <c r="T2645" s="21"/>
    </row>
    <row r="2646" spans="2:20" ht="12.75" hidden="1" customHeight="1" x14ac:dyDescent="0.25">
      <c r="B2646" s="89">
        <v>44005.083333333336</v>
      </c>
      <c r="C2646" s="90" t="s">
        <v>2497</v>
      </c>
      <c r="D2646" s="34"/>
      <c r="E2646" s="102">
        <v>9360000</v>
      </c>
      <c r="F2646" s="37"/>
      <c r="G2646" s="37">
        <f>+E2646</f>
        <v>9360000</v>
      </c>
      <c r="H2646" s="64"/>
      <c r="I2646" s="64">
        <v>319141.3</v>
      </c>
      <c r="J2646" s="64">
        <v>80109.990000000005</v>
      </c>
      <c r="K2646" s="18">
        <f t="shared" si="498"/>
        <v>8960748.709999999</v>
      </c>
      <c r="L2646" s="19">
        <f t="shared" si="499"/>
        <v>65520000</v>
      </c>
      <c r="M2646" s="20"/>
      <c r="N2646" s="20"/>
      <c r="O2646" s="81"/>
      <c r="P2646" s="55" t="s">
        <v>2498</v>
      </c>
      <c r="Q2646" s="97">
        <v>43952</v>
      </c>
      <c r="R2646" s="14">
        <f>468000+109800</f>
        <v>577800</v>
      </c>
      <c r="S2646" s="14">
        <f>599100+140500</f>
        <v>739600</v>
      </c>
      <c r="T2646" s="21"/>
    </row>
    <row r="2647" spans="2:20" ht="12.75" hidden="1" customHeight="1" x14ac:dyDescent="0.25">
      <c r="B2647" s="89">
        <v>44027.083333333336</v>
      </c>
      <c r="C2647" s="90" t="s">
        <v>2499</v>
      </c>
      <c r="D2647" s="34"/>
      <c r="E2647" s="102">
        <v>9360000</v>
      </c>
      <c r="F2647" s="37"/>
      <c r="G2647" s="37">
        <f>+E2647</f>
        <v>9360000</v>
      </c>
      <c r="H2647" s="64"/>
      <c r="I2647" s="64">
        <v>478342.09</v>
      </c>
      <c r="J2647" s="64">
        <v>80109.990000000005</v>
      </c>
      <c r="K2647" s="18">
        <f t="shared" si="498"/>
        <v>8801547.9199999999</v>
      </c>
      <c r="L2647" s="19">
        <f t="shared" si="499"/>
        <v>56160000</v>
      </c>
      <c r="M2647" s="20"/>
      <c r="N2647" s="20"/>
      <c r="O2647" s="81"/>
      <c r="P2647" s="55">
        <v>18239556</v>
      </c>
      <c r="Q2647" s="97">
        <v>43983</v>
      </c>
      <c r="R2647" s="14">
        <v>468000</v>
      </c>
      <c r="S2647" s="14">
        <v>636700</v>
      </c>
      <c r="T2647" s="21"/>
    </row>
    <row r="2648" spans="2:20" ht="12.75" hidden="1" customHeight="1" x14ac:dyDescent="0.25">
      <c r="B2648" s="89">
        <v>44056.083333333336</v>
      </c>
      <c r="C2648" s="90" t="s">
        <v>2500</v>
      </c>
      <c r="D2648" s="34"/>
      <c r="E2648" s="102">
        <v>9360000</v>
      </c>
      <c r="F2648" s="37"/>
      <c r="G2648" s="37">
        <f>+E2648</f>
        <v>9360000</v>
      </c>
      <c r="H2648" s="64"/>
      <c r="I2648" s="64">
        <v>321683.5</v>
      </c>
      <c r="J2648" s="64">
        <v>80109.990000000005</v>
      </c>
      <c r="K2648" s="18">
        <f t="shared" si="498"/>
        <v>8958206.5099999998</v>
      </c>
      <c r="L2648" s="19">
        <f t="shared" si="499"/>
        <v>46800000</v>
      </c>
      <c r="M2648" s="20"/>
      <c r="N2648" s="20"/>
      <c r="O2648" s="81"/>
      <c r="P2648" s="55">
        <v>18239598</v>
      </c>
      <c r="Q2648" s="97">
        <v>44013</v>
      </c>
      <c r="R2648" s="14">
        <v>468000</v>
      </c>
      <c r="S2648" s="14">
        <v>636700</v>
      </c>
      <c r="T2648" s="21"/>
    </row>
    <row r="2649" spans="2:20" ht="12.75" hidden="1" customHeight="1" x14ac:dyDescent="0.25">
      <c r="B2649" s="89">
        <v>44091.083333333336</v>
      </c>
      <c r="C2649" s="90" t="s">
        <v>2501</v>
      </c>
      <c r="D2649" s="34"/>
      <c r="E2649" s="102">
        <v>9360000</v>
      </c>
      <c r="F2649" s="37"/>
      <c r="G2649" s="37">
        <f>+E2649</f>
        <v>9360000</v>
      </c>
      <c r="H2649" s="64"/>
      <c r="I2649" s="64">
        <v>321683.5</v>
      </c>
      <c r="J2649" s="64">
        <v>80109.990000000005</v>
      </c>
      <c r="K2649" s="18">
        <f t="shared" si="498"/>
        <v>8958206.5099999998</v>
      </c>
      <c r="L2649" s="19">
        <f t="shared" si="499"/>
        <v>37440000</v>
      </c>
      <c r="M2649" s="20"/>
      <c r="N2649" s="20"/>
      <c r="O2649" s="81"/>
      <c r="P2649" s="55">
        <v>18630073</v>
      </c>
      <c r="Q2649" s="97">
        <v>44044</v>
      </c>
      <c r="R2649" s="14">
        <v>468000</v>
      </c>
      <c r="S2649" s="14">
        <v>636700</v>
      </c>
      <c r="T2649" s="21"/>
    </row>
    <row r="2650" spans="2:20" ht="12.75" hidden="1" customHeight="1" x14ac:dyDescent="0.25">
      <c r="B2650" s="89">
        <v>44118.083333333336</v>
      </c>
      <c r="C2650" s="90" t="s">
        <v>2502</v>
      </c>
      <c r="D2650" s="34"/>
      <c r="E2650" s="102">
        <v>9360000</v>
      </c>
      <c r="F2650" s="37"/>
      <c r="G2650" s="37">
        <v>9360000</v>
      </c>
      <c r="H2650" s="64"/>
      <c r="I2650" s="64">
        <v>316348.28999999998</v>
      </c>
      <c r="J2650" s="64">
        <v>80109.990000000005</v>
      </c>
      <c r="K2650" s="18">
        <f t="shared" si="498"/>
        <v>8963541.7200000007</v>
      </c>
      <c r="L2650" s="19">
        <f t="shared" si="499"/>
        <v>28080000</v>
      </c>
      <c r="M2650" s="20"/>
      <c r="N2650" s="20"/>
      <c r="O2650" s="81"/>
      <c r="P2650" s="55">
        <v>66822138</v>
      </c>
      <c r="Q2650" s="97">
        <v>44075</v>
      </c>
      <c r="R2650" s="14">
        <v>468000</v>
      </c>
      <c r="S2650" s="14">
        <v>636700</v>
      </c>
      <c r="T2650" s="21"/>
    </row>
    <row r="2651" spans="2:20" ht="12.75" hidden="1" customHeight="1" x14ac:dyDescent="0.25">
      <c r="B2651" s="89">
        <v>44153.125</v>
      </c>
      <c r="C2651" s="90" t="s">
        <v>2503</v>
      </c>
      <c r="D2651" s="34"/>
      <c r="E2651" s="102">
        <v>9360000</v>
      </c>
      <c r="F2651" s="37"/>
      <c r="G2651" s="37">
        <v>9360000</v>
      </c>
      <c r="H2651" s="64"/>
      <c r="I2651" s="64">
        <v>321683.5</v>
      </c>
      <c r="J2651" s="64">
        <v>80109.990000000005</v>
      </c>
      <c r="K2651" s="18">
        <f>+G2651-H2651-I2651-J2651</f>
        <v>8958206.5099999998</v>
      </c>
      <c r="L2651" s="19">
        <f>+L2650-G2651</f>
        <v>18720000</v>
      </c>
      <c r="M2651" s="20"/>
      <c r="N2651" s="20"/>
      <c r="O2651" s="81"/>
      <c r="P2651" s="21">
        <v>18858044</v>
      </c>
      <c r="Q2651" s="98">
        <v>44105</v>
      </c>
      <c r="R2651" s="14">
        <v>468000</v>
      </c>
      <c r="S2651" s="14">
        <v>636700</v>
      </c>
      <c r="T2651" s="21"/>
    </row>
    <row r="2652" spans="2:20" ht="12.75" hidden="1" customHeight="1" x14ac:dyDescent="0.25">
      <c r="B2652" s="89">
        <v>44179.125</v>
      </c>
      <c r="C2652" s="90" t="s">
        <v>2504</v>
      </c>
      <c r="D2652" s="34"/>
      <c r="E2652" s="102">
        <v>9360000</v>
      </c>
      <c r="F2652" s="37"/>
      <c r="G2652" s="37">
        <v>9360000</v>
      </c>
      <c r="H2652" s="64"/>
      <c r="I2652" s="64">
        <v>321683.5</v>
      </c>
      <c r="J2652" s="64">
        <v>80109.990000000005</v>
      </c>
      <c r="K2652" s="18">
        <f>+G2652-H2652-I2652-J2652</f>
        <v>8958206.5099999998</v>
      </c>
      <c r="L2652" s="19">
        <f>+L2651-G2652</f>
        <v>9360000</v>
      </c>
      <c r="M2652" s="20"/>
      <c r="N2652" s="20"/>
      <c r="O2652" s="81"/>
      <c r="P2652" s="55">
        <v>19101832</v>
      </c>
      <c r="Q2652" s="97">
        <v>44136</v>
      </c>
      <c r="R2652" s="14">
        <v>468000</v>
      </c>
      <c r="S2652" s="14">
        <v>636700</v>
      </c>
      <c r="T2652" s="21"/>
    </row>
    <row r="2653" spans="2:20" ht="12.75" hidden="1" customHeight="1" x14ac:dyDescent="0.25">
      <c r="B2653" s="89">
        <v>44193.125</v>
      </c>
      <c r="C2653" s="90" t="s">
        <v>2505</v>
      </c>
      <c r="D2653" s="34"/>
      <c r="E2653" s="102">
        <v>9360000</v>
      </c>
      <c r="F2653" s="37"/>
      <c r="G2653" s="37">
        <v>9360000</v>
      </c>
      <c r="H2653" s="64"/>
      <c r="I2653" s="64">
        <v>321683.5</v>
      </c>
      <c r="J2653" s="64">
        <v>80109.990000000005</v>
      </c>
      <c r="K2653" s="18">
        <f>+G2653-H2653-I2653-J2653</f>
        <v>8958206.5099999998</v>
      </c>
      <c r="L2653" s="19">
        <f>+L2652-G2653</f>
        <v>0</v>
      </c>
      <c r="M2653" s="20"/>
      <c r="N2653" s="20"/>
      <c r="O2653" s="81"/>
      <c r="P2653" s="55">
        <v>19252783</v>
      </c>
      <c r="Q2653" s="97">
        <v>44166</v>
      </c>
      <c r="R2653" s="14">
        <v>468000</v>
      </c>
      <c r="S2653" s="14">
        <v>636700</v>
      </c>
      <c r="T2653" s="21"/>
    </row>
    <row r="2654" spans="2:20" ht="15" hidden="1" x14ac:dyDescent="0.25">
      <c r="B2654" s="9" t="s">
        <v>2506</v>
      </c>
      <c r="C2654" s="10"/>
      <c r="D2654" s="11">
        <v>2329661218</v>
      </c>
      <c r="E2654" s="11">
        <f>+D2654</f>
        <v>2329661218</v>
      </c>
      <c r="F2654" s="11"/>
      <c r="G2654" s="11"/>
      <c r="H2654" s="11"/>
      <c r="I2654" s="11"/>
      <c r="J2654" s="11"/>
      <c r="K2654" s="11"/>
      <c r="L2654" s="11">
        <f>+D2654</f>
        <v>2329661218</v>
      </c>
      <c r="M2654" s="12"/>
      <c r="N2654" s="12"/>
      <c r="P2654" s="55"/>
      <c r="Q2654" s="55"/>
      <c r="R2654" s="14"/>
      <c r="S2654" s="14"/>
      <c r="T2654" s="21"/>
    </row>
    <row r="2655" spans="2:20" ht="15.6" hidden="1" customHeight="1" x14ac:dyDescent="0.25">
      <c r="B2655" s="89">
        <v>43991.083333333336</v>
      </c>
      <c r="C2655" s="92" t="s">
        <v>2507</v>
      </c>
      <c r="D2655" s="34"/>
      <c r="E2655" s="102">
        <v>2329661218</v>
      </c>
      <c r="F2655" s="37"/>
      <c r="G2655" s="37">
        <f>+E2655</f>
        <v>2329661218</v>
      </c>
      <c r="H2655" s="64"/>
      <c r="I2655" s="64"/>
      <c r="J2655" s="64"/>
      <c r="K2655" s="18">
        <f>+G2655-H2655-I2655-J2655</f>
        <v>2329661218</v>
      </c>
      <c r="L2655" s="19">
        <f>+L2654-G2655</f>
        <v>0</v>
      </c>
      <c r="M2655" s="20"/>
      <c r="N2655" s="20"/>
      <c r="O2655" s="81">
        <f>+L2655-'[1]ANEXO 7 - PPTO VIG 2020'!T64</f>
        <v>0</v>
      </c>
      <c r="P2655" s="55"/>
      <c r="Q2655" s="55"/>
      <c r="R2655" s="14"/>
      <c r="S2655" s="14"/>
      <c r="T2655" s="21"/>
    </row>
    <row r="2656" spans="2:20" ht="15" hidden="1" x14ac:dyDescent="0.25">
      <c r="B2656" s="9" t="s">
        <v>2508</v>
      </c>
      <c r="C2656" s="10"/>
      <c r="D2656" s="11">
        <v>46800000</v>
      </c>
      <c r="E2656" s="11">
        <f>+D2656</f>
        <v>46800000</v>
      </c>
      <c r="F2656" s="11"/>
      <c r="G2656" s="11"/>
      <c r="H2656" s="11"/>
      <c r="I2656" s="11"/>
      <c r="J2656" s="11"/>
      <c r="K2656" s="11"/>
      <c r="L2656" s="11">
        <f>+D2656</f>
        <v>46800000</v>
      </c>
      <c r="M2656" s="12"/>
      <c r="N2656" s="12"/>
      <c r="P2656" s="55"/>
      <c r="Q2656" s="55"/>
      <c r="R2656" s="14"/>
      <c r="S2656" s="14"/>
      <c r="T2656" s="21"/>
    </row>
    <row r="2657" spans="2:20" ht="15" hidden="1" x14ac:dyDescent="0.25">
      <c r="B2657" s="89">
        <v>43994.083333333336</v>
      </c>
      <c r="C2657" s="92" t="s">
        <v>2509</v>
      </c>
      <c r="D2657" s="23"/>
      <c r="E2657" s="91">
        <v>2600000</v>
      </c>
      <c r="F2657" s="93"/>
      <c r="G2657" s="93">
        <f t="shared" ref="G2657:G2662" si="500">+E2657</f>
        <v>2600000</v>
      </c>
      <c r="H2657" s="94"/>
      <c r="I2657" s="94"/>
      <c r="J2657" s="94">
        <v>22252.78</v>
      </c>
      <c r="K2657" s="25">
        <f t="shared" ref="K2657:K2662" si="501">+G2657-H2657-I2657-J2657</f>
        <v>2577747.2200000002</v>
      </c>
      <c r="L2657" s="95">
        <f t="shared" ref="L2657:L2662" si="502">+L2656-G2657</f>
        <v>44200000</v>
      </c>
      <c r="M2657" s="96"/>
      <c r="N2657" s="96"/>
      <c r="O2657" s="81">
        <f>+L2666-'[1]ANEXO 7 - PPTO VIG 2020'!T51</f>
        <v>0</v>
      </c>
      <c r="P2657" s="55">
        <v>9405119927</v>
      </c>
      <c r="Q2657" s="97">
        <v>43922</v>
      </c>
      <c r="R2657" s="14">
        <v>138700</v>
      </c>
      <c r="S2657" s="14">
        <v>177500</v>
      </c>
      <c r="T2657" s="21"/>
    </row>
    <row r="2658" spans="2:20" ht="15.6" hidden="1" customHeight="1" x14ac:dyDescent="0.25">
      <c r="B2658" s="89">
        <v>43998.083333333336</v>
      </c>
      <c r="C2658" s="128" t="s">
        <v>2510</v>
      </c>
      <c r="D2658" s="128"/>
      <c r="E2658" s="129">
        <v>5200000</v>
      </c>
      <c r="F2658" s="129"/>
      <c r="G2658" s="93">
        <f t="shared" si="500"/>
        <v>5200000</v>
      </c>
      <c r="H2658" s="129"/>
      <c r="I2658" s="129"/>
      <c r="J2658" s="129">
        <v>44505.55</v>
      </c>
      <c r="K2658" s="25">
        <f t="shared" si="501"/>
        <v>5155494.45</v>
      </c>
      <c r="L2658" s="95">
        <f t="shared" si="502"/>
        <v>39000000</v>
      </c>
      <c r="M2658" s="96"/>
      <c r="N2658" s="96"/>
      <c r="P2658" s="55">
        <v>9406147056</v>
      </c>
      <c r="Q2658" s="97">
        <v>43952</v>
      </c>
      <c r="R2658" s="14">
        <v>260000</v>
      </c>
      <c r="S2658" s="14">
        <v>332800</v>
      </c>
      <c r="T2658" s="21"/>
    </row>
    <row r="2659" spans="2:20" ht="15.6" hidden="1" customHeight="1" x14ac:dyDescent="0.25">
      <c r="B2659" s="89">
        <v>44019.083333333336</v>
      </c>
      <c r="C2659" s="128" t="s">
        <v>2511</v>
      </c>
      <c r="D2659" s="128"/>
      <c r="E2659" s="129">
        <v>5200000</v>
      </c>
      <c r="F2659" s="129"/>
      <c r="G2659" s="93">
        <f t="shared" si="500"/>
        <v>5200000</v>
      </c>
      <c r="H2659" s="129"/>
      <c r="I2659" s="129"/>
      <c r="J2659" s="129">
        <v>44505.55</v>
      </c>
      <c r="K2659" s="25">
        <f t="shared" si="501"/>
        <v>5155494.45</v>
      </c>
      <c r="L2659" s="95">
        <f t="shared" si="502"/>
        <v>33800000</v>
      </c>
      <c r="M2659" s="96"/>
      <c r="N2659" s="96"/>
      <c r="P2659" s="55">
        <v>9406147269</v>
      </c>
      <c r="Q2659" s="97">
        <v>43983</v>
      </c>
      <c r="R2659" s="14">
        <v>260000</v>
      </c>
      <c r="S2659" s="14">
        <v>332800</v>
      </c>
      <c r="T2659" s="21"/>
    </row>
    <row r="2660" spans="2:20" ht="15.6" hidden="1" customHeight="1" x14ac:dyDescent="0.25">
      <c r="B2660" s="89">
        <v>44056.083333333336</v>
      </c>
      <c r="C2660" s="128" t="s">
        <v>2512</v>
      </c>
      <c r="D2660" s="128"/>
      <c r="E2660" s="129">
        <v>5200000</v>
      </c>
      <c r="F2660" s="129"/>
      <c r="G2660" s="93">
        <f t="shared" si="500"/>
        <v>5200000</v>
      </c>
      <c r="H2660" s="129"/>
      <c r="I2660" s="129"/>
      <c r="J2660" s="129">
        <v>44505.55</v>
      </c>
      <c r="K2660" s="25">
        <f t="shared" si="501"/>
        <v>5155494.45</v>
      </c>
      <c r="L2660" s="95">
        <f t="shared" si="502"/>
        <v>28600000</v>
      </c>
      <c r="M2660" s="96"/>
      <c r="N2660" s="96"/>
      <c r="P2660" s="55">
        <v>9408832322</v>
      </c>
      <c r="Q2660" s="97">
        <v>44013</v>
      </c>
      <c r="R2660" s="14">
        <v>260000</v>
      </c>
      <c r="S2660" s="14">
        <v>332800</v>
      </c>
      <c r="T2660" s="21"/>
    </row>
    <row r="2661" spans="2:20" ht="15.6" hidden="1" customHeight="1" x14ac:dyDescent="0.25">
      <c r="B2661" s="89">
        <v>44082.083333333336</v>
      </c>
      <c r="C2661" s="128" t="s">
        <v>2513</v>
      </c>
      <c r="D2661" s="128"/>
      <c r="E2661" s="129">
        <v>5200000</v>
      </c>
      <c r="F2661" s="129"/>
      <c r="G2661" s="93">
        <f t="shared" si="500"/>
        <v>5200000</v>
      </c>
      <c r="H2661" s="129"/>
      <c r="I2661" s="129"/>
      <c r="J2661" s="129">
        <v>44505.55</v>
      </c>
      <c r="K2661" s="25">
        <f t="shared" si="501"/>
        <v>5155494.45</v>
      </c>
      <c r="L2661" s="95">
        <f t="shared" si="502"/>
        <v>23400000</v>
      </c>
      <c r="M2661" s="96"/>
      <c r="N2661" s="96"/>
      <c r="P2661" s="55">
        <v>9410182472</v>
      </c>
      <c r="Q2661" s="97">
        <v>44044</v>
      </c>
      <c r="R2661" s="14">
        <v>260000</v>
      </c>
      <c r="S2661" s="14">
        <v>332800</v>
      </c>
      <c r="T2661" s="21"/>
    </row>
    <row r="2662" spans="2:20" ht="15.6" hidden="1" customHeight="1" x14ac:dyDescent="0.25">
      <c r="B2662" s="89">
        <v>44109.083333333336</v>
      </c>
      <c r="C2662" s="128" t="s">
        <v>2514</v>
      </c>
      <c r="D2662" s="128"/>
      <c r="E2662" s="129">
        <v>5200000</v>
      </c>
      <c r="F2662" s="129"/>
      <c r="G2662" s="93">
        <f t="shared" si="500"/>
        <v>5200000</v>
      </c>
      <c r="H2662" s="129"/>
      <c r="I2662" s="129"/>
      <c r="J2662" s="129">
        <v>44505.55</v>
      </c>
      <c r="K2662" s="25">
        <f t="shared" si="501"/>
        <v>5155494.45</v>
      </c>
      <c r="L2662" s="95">
        <f t="shared" si="502"/>
        <v>18200000</v>
      </c>
      <c r="M2662" s="96"/>
      <c r="N2662" s="96"/>
      <c r="P2662" s="55">
        <v>9410708991</v>
      </c>
      <c r="Q2662" s="97">
        <v>44075</v>
      </c>
      <c r="R2662" s="14">
        <v>260000</v>
      </c>
      <c r="S2662" s="14">
        <v>332800</v>
      </c>
    </row>
    <row r="2663" spans="2:20" ht="15.6" hidden="1" customHeight="1" x14ac:dyDescent="0.25">
      <c r="B2663" s="89">
        <v>44147.125</v>
      </c>
      <c r="C2663" s="128" t="s">
        <v>2515</v>
      </c>
      <c r="D2663" s="128"/>
      <c r="E2663" s="129">
        <v>5200000</v>
      </c>
      <c r="F2663" s="129"/>
      <c r="G2663" s="93">
        <f>+E2663</f>
        <v>5200000</v>
      </c>
      <c r="H2663" s="129"/>
      <c r="I2663" s="129"/>
      <c r="J2663" s="129">
        <v>44505.55</v>
      </c>
      <c r="K2663" s="25">
        <f>+G2663-H2663-I2663-J2663</f>
        <v>5155494.45</v>
      </c>
      <c r="L2663" s="95">
        <f>+L2662-G2663</f>
        <v>13000000</v>
      </c>
      <c r="M2663" s="96"/>
      <c r="N2663" s="96"/>
      <c r="P2663" s="55">
        <v>9411785018</v>
      </c>
      <c r="Q2663" s="97">
        <v>44105</v>
      </c>
      <c r="R2663" s="14">
        <v>260000</v>
      </c>
      <c r="S2663" s="14">
        <v>332800</v>
      </c>
    </row>
    <row r="2664" spans="2:20" ht="15.6" hidden="1" customHeight="1" x14ac:dyDescent="0.25">
      <c r="B2664" s="89">
        <v>44168.125</v>
      </c>
      <c r="C2664" s="128" t="s">
        <v>2516</v>
      </c>
      <c r="D2664" s="128"/>
      <c r="E2664" s="129">
        <v>5200000</v>
      </c>
      <c r="F2664" s="129"/>
      <c r="G2664" s="93">
        <f>+E2664</f>
        <v>5200000</v>
      </c>
      <c r="H2664" s="129"/>
      <c r="I2664" s="129"/>
      <c r="J2664" s="129">
        <v>44505.55</v>
      </c>
      <c r="K2664" s="25">
        <f>+G2664-H2664-I2664-J2664</f>
        <v>5155494.45</v>
      </c>
      <c r="L2664" s="95">
        <f>+L2663-G2664</f>
        <v>7800000</v>
      </c>
      <c r="M2664" s="96"/>
      <c r="N2664" s="96"/>
      <c r="P2664" s="55">
        <v>9412769644</v>
      </c>
      <c r="Q2664" s="97">
        <v>44136</v>
      </c>
      <c r="R2664" s="14">
        <v>260000</v>
      </c>
      <c r="S2664" s="14">
        <v>332800</v>
      </c>
    </row>
    <row r="2665" spans="2:20" ht="15.6" hidden="1" customHeight="1" x14ac:dyDescent="0.25">
      <c r="B2665" s="89">
        <v>44193.125</v>
      </c>
      <c r="C2665" s="128" t="s">
        <v>2517</v>
      </c>
      <c r="D2665" s="128"/>
      <c r="E2665" s="129">
        <v>5200000</v>
      </c>
      <c r="F2665" s="129"/>
      <c r="G2665" s="93">
        <f>+E2665</f>
        <v>5200000</v>
      </c>
      <c r="H2665" s="129"/>
      <c r="I2665" s="129"/>
      <c r="J2665" s="129">
        <v>44505.55</v>
      </c>
      <c r="K2665" s="25">
        <f>+G2665-H2665-I2665-J2665</f>
        <v>5155494.45</v>
      </c>
      <c r="L2665" s="95">
        <f>+L2664-G2665</f>
        <v>2600000</v>
      </c>
      <c r="M2665" s="96"/>
      <c r="N2665" s="96"/>
      <c r="P2665" s="55">
        <v>9413927542</v>
      </c>
      <c r="Q2665" s="97">
        <v>44166</v>
      </c>
      <c r="R2665" s="14">
        <v>260000</v>
      </c>
      <c r="S2665" s="14">
        <v>332800</v>
      </c>
    </row>
    <row r="2666" spans="2:20" ht="15.6" hidden="1" customHeight="1" x14ac:dyDescent="0.25">
      <c r="B2666" s="89"/>
      <c r="C2666" s="128" t="s">
        <v>2047</v>
      </c>
      <c r="D2666" s="128"/>
      <c r="E2666" s="129">
        <v>2600000</v>
      </c>
      <c r="F2666" s="129"/>
      <c r="G2666" s="93">
        <f>+E2666</f>
        <v>2600000</v>
      </c>
      <c r="H2666" s="129"/>
      <c r="I2666" s="129"/>
      <c r="J2666" s="129"/>
      <c r="K2666" s="25"/>
      <c r="L2666" s="95">
        <f>+L2665-G2666</f>
        <v>0</v>
      </c>
      <c r="M2666" s="96"/>
      <c r="N2666" s="96"/>
      <c r="P2666" s="55"/>
      <c r="Q2666" s="97"/>
      <c r="R2666" s="14"/>
      <c r="S2666" s="14"/>
    </row>
    <row r="2667" spans="2:20" ht="15" hidden="1" x14ac:dyDescent="0.25">
      <c r="B2667" s="9" t="s">
        <v>2518</v>
      </c>
      <c r="C2667" s="10"/>
      <c r="D2667" s="11">
        <v>45552000</v>
      </c>
      <c r="E2667" s="11">
        <f>+D2667</f>
        <v>45552000</v>
      </c>
      <c r="F2667" s="11"/>
      <c r="G2667" s="11"/>
      <c r="H2667" s="11"/>
      <c r="I2667" s="11"/>
      <c r="J2667" s="11"/>
      <c r="K2667" s="11"/>
      <c r="L2667" s="11">
        <f>+D2667</f>
        <v>45552000</v>
      </c>
      <c r="M2667" s="12"/>
      <c r="N2667" s="12"/>
      <c r="P2667" s="55"/>
      <c r="Q2667" s="55"/>
      <c r="R2667" s="14"/>
      <c r="S2667" s="14"/>
    </row>
    <row r="2668" spans="2:20" s="31" customFormat="1" ht="15" hidden="1" x14ac:dyDescent="0.25">
      <c r="B2668" s="89">
        <v>43994.083333333336</v>
      </c>
      <c r="C2668" s="92" t="s">
        <v>2519</v>
      </c>
      <c r="D2668" s="23"/>
      <c r="E2668" s="91">
        <v>1040000</v>
      </c>
      <c r="F2668" s="93"/>
      <c r="G2668" s="93">
        <f t="shared" ref="G2668:G2676" si="503">+E2668</f>
        <v>1040000</v>
      </c>
      <c r="H2668" s="94"/>
      <c r="I2668" s="94"/>
      <c r="J2668" s="94">
        <v>8901.11</v>
      </c>
      <c r="K2668" s="25">
        <f t="shared" ref="K2668:K2673" si="504">+G2668-H2668-I2668-J2668</f>
        <v>1031098.89</v>
      </c>
      <c r="L2668" s="95">
        <f t="shared" ref="L2668:L2673" si="505">+L2667-G2668</f>
        <v>44512000</v>
      </c>
      <c r="M2668" s="96"/>
      <c r="N2668" s="96"/>
      <c r="O2668" s="130">
        <f>+L2676-'[1]ANEXO 7 - PPTO VIG 2020'!T52</f>
        <v>0</v>
      </c>
      <c r="P2668" s="126">
        <v>7753803806</v>
      </c>
      <c r="Q2668" s="127">
        <v>43952</v>
      </c>
      <c r="R2668" s="29">
        <v>109800</v>
      </c>
      <c r="S2668" s="29">
        <v>26400</v>
      </c>
      <c r="T2668" s="30"/>
    </row>
    <row r="2669" spans="2:20" s="31" customFormat="1" ht="15" hidden="1" x14ac:dyDescent="0.25">
      <c r="B2669" s="89">
        <v>44020.083333333336</v>
      </c>
      <c r="C2669" s="92" t="s">
        <v>2520</v>
      </c>
      <c r="D2669" s="23"/>
      <c r="E2669" s="91">
        <v>6240000</v>
      </c>
      <c r="F2669" s="93"/>
      <c r="G2669" s="93">
        <f t="shared" si="503"/>
        <v>6240000</v>
      </c>
      <c r="H2669" s="94"/>
      <c r="I2669" s="94">
        <v>226942.64</v>
      </c>
      <c r="J2669" s="94">
        <v>58962.71</v>
      </c>
      <c r="K2669" s="25">
        <f t="shared" si="504"/>
        <v>5954094.6500000004</v>
      </c>
      <c r="L2669" s="95">
        <f t="shared" si="505"/>
        <v>38272000</v>
      </c>
      <c r="M2669" s="96"/>
      <c r="N2669" s="96"/>
      <c r="O2669" s="130"/>
      <c r="P2669" s="126">
        <v>7756201841</v>
      </c>
      <c r="Q2669" s="127">
        <v>43983</v>
      </c>
      <c r="R2669" s="29">
        <v>312000</v>
      </c>
      <c r="S2669" s="29">
        <v>399400</v>
      </c>
      <c r="T2669" s="30"/>
    </row>
    <row r="2670" spans="2:20" s="31" customFormat="1" ht="15" hidden="1" x14ac:dyDescent="0.25">
      <c r="B2670" s="89">
        <v>44054.083333333336</v>
      </c>
      <c r="C2670" s="92" t="s">
        <v>2521</v>
      </c>
      <c r="D2670" s="23"/>
      <c r="E2670" s="91">
        <v>6240000</v>
      </c>
      <c r="F2670" s="93"/>
      <c r="G2670" s="93">
        <f t="shared" si="503"/>
        <v>6240000</v>
      </c>
      <c r="H2670" s="94"/>
      <c r="I2670" s="94">
        <v>143258.10999999999</v>
      </c>
      <c r="J2670" s="94">
        <v>53406.66</v>
      </c>
      <c r="K2670" s="25">
        <f t="shared" si="504"/>
        <v>6043335.2299999995</v>
      </c>
      <c r="L2670" s="95">
        <f t="shared" si="505"/>
        <v>32032000</v>
      </c>
      <c r="M2670" s="96"/>
      <c r="N2670" s="96"/>
      <c r="O2670" s="130"/>
      <c r="P2670" s="126">
        <v>7761283897</v>
      </c>
      <c r="Q2670" s="127">
        <v>44013</v>
      </c>
      <c r="R2670" s="29">
        <v>312000</v>
      </c>
      <c r="S2670" s="29">
        <v>399400</v>
      </c>
      <c r="T2670" s="30"/>
    </row>
    <row r="2671" spans="2:20" s="31" customFormat="1" ht="15" hidden="1" x14ac:dyDescent="0.25">
      <c r="B2671" s="89">
        <v>44076.083333333336</v>
      </c>
      <c r="C2671" s="92" t="s">
        <v>2522</v>
      </c>
      <c r="D2671" s="23"/>
      <c r="E2671" s="91">
        <v>6240000</v>
      </c>
      <c r="F2671" s="93"/>
      <c r="G2671" s="93">
        <f t="shared" si="503"/>
        <v>6240000</v>
      </c>
      <c r="H2671" s="94"/>
      <c r="I2671" s="94">
        <v>143258.10999999999</v>
      </c>
      <c r="J2671" s="94">
        <v>53406.66</v>
      </c>
      <c r="K2671" s="25">
        <f t="shared" si="504"/>
        <v>6043335.2299999995</v>
      </c>
      <c r="L2671" s="95">
        <f t="shared" si="505"/>
        <v>25792000</v>
      </c>
      <c r="M2671" s="96"/>
      <c r="N2671" s="96"/>
      <c r="O2671" s="130"/>
      <c r="P2671" s="126">
        <v>7763098957</v>
      </c>
      <c r="Q2671" s="127">
        <v>44044</v>
      </c>
      <c r="R2671" s="29">
        <v>312000</v>
      </c>
      <c r="S2671" s="29">
        <v>399400</v>
      </c>
      <c r="T2671" s="30"/>
    </row>
    <row r="2672" spans="2:20" s="31" customFormat="1" ht="15" hidden="1" x14ac:dyDescent="0.25">
      <c r="B2672" s="89">
        <v>44111.083333333336</v>
      </c>
      <c r="C2672" s="92" t="s">
        <v>2523</v>
      </c>
      <c r="D2672" s="23"/>
      <c r="E2672" s="91">
        <v>6240000</v>
      </c>
      <c r="F2672" s="93"/>
      <c r="G2672" s="93">
        <f t="shared" si="503"/>
        <v>6240000</v>
      </c>
      <c r="H2672" s="94"/>
      <c r="I2672" s="94">
        <v>143258.10999999999</v>
      </c>
      <c r="J2672" s="94">
        <v>53406.66</v>
      </c>
      <c r="K2672" s="25">
        <f t="shared" si="504"/>
        <v>6043335.2299999995</v>
      </c>
      <c r="L2672" s="95">
        <f t="shared" si="505"/>
        <v>19552000</v>
      </c>
      <c r="M2672" s="96"/>
      <c r="N2672" s="96"/>
      <c r="O2672" s="130"/>
      <c r="P2672" s="126">
        <v>7766773868</v>
      </c>
      <c r="Q2672" s="127">
        <v>44075</v>
      </c>
      <c r="R2672" s="29">
        <v>312000</v>
      </c>
      <c r="S2672" s="29">
        <v>399400</v>
      </c>
      <c r="T2672" s="30"/>
    </row>
    <row r="2673" spans="1:20" s="31" customFormat="1" ht="15" hidden="1" x14ac:dyDescent="0.25">
      <c r="B2673" s="89">
        <v>44141.125</v>
      </c>
      <c r="C2673" s="92" t="s">
        <v>2524</v>
      </c>
      <c r="D2673" s="23"/>
      <c r="E2673" s="91">
        <v>6240000</v>
      </c>
      <c r="F2673" s="93"/>
      <c r="G2673" s="93">
        <f t="shared" si="503"/>
        <v>6240000</v>
      </c>
      <c r="H2673" s="94"/>
      <c r="I2673" s="94">
        <v>143258.10999999999</v>
      </c>
      <c r="J2673" s="94">
        <v>53406.66</v>
      </c>
      <c r="K2673" s="25">
        <f t="shared" si="504"/>
        <v>6043335.2299999995</v>
      </c>
      <c r="L2673" s="95">
        <f t="shared" si="505"/>
        <v>13312000</v>
      </c>
      <c r="M2673" s="96"/>
      <c r="N2673" s="96"/>
      <c r="O2673" s="130"/>
      <c r="P2673" s="126">
        <v>7769814417</v>
      </c>
      <c r="Q2673" s="127">
        <v>44105</v>
      </c>
      <c r="R2673" s="29">
        <v>312000</v>
      </c>
      <c r="S2673" s="29">
        <v>399400</v>
      </c>
      <c r="T2673" s="30"/>
    </row>
    <row r="2674" spans="1:20" s="31" customFormat="1" ht="15" hidden="1" x14ac:dyDescent="0.25">
      <c r="B2674" s="89">
        <v>44174.125</v>
      </c>
      <c r="C2674" s="92" t="s">
        <v>2525</v>
      </c>
      <c r="D2674" s="23"/>
      <c r="E2674" s="91">
        <v>6240000</v>
      </c>
      <c r="F2674" s="93"/>
      <c r="G2674" s="93">
        <f t="shared" si="503"/>
        <v>6240000</v>
      </c>
      <c r="H2674" s="94"/>
      <c r="I2674" s="94">
        <v>143258.10999999999</v>
      </c>
      <c r="J2674" s="94">
        <v>53406.66</v>
      </c>
      <c r="K2674" s="25">
        <f>+G2674-H2674-I2674-J2674</f>
        <v>6043335.2299999995</v>
      </c>
      <c r="L2674" s="95">
        <f>+L2673-G2674</f>
        <v>7072000</v>
      </c>
      <c r="M2674" s="96"/>
      <c r="N2674" s="96"/>
      <c r="O2674" s="130"/>
      <c r="P2674" s="126">
        <v>7773149630</v>
      </c>
      <c r="Q2674" s="127">
        <v>44136</v>
      </c>
      <c r="R2674" s="29">
        <v>312000</v>
      </c>
      <c r="S2674" s="29">
        <v>399400</v>
      </c>
      <c r="T2674" s="30"/>
    </row>
    <row r="2675" spans="1:20" s="31" customFormat="1" ht="15" hidden="1" x14ac:dyDescent="0.25">
      <c r="B2675" s="89">
        <v>44193.125</v>
      </c>
      <c r="C2675" s="92" t="s">
        <v>2526</v>
      </c>
      <c r="D2675" s="23"/>
      <c r="E2675" s="91">
        <v>6240000</v>
      </c>
      <c r="F2675" s="93"/>
      <c r="G2675" s="93">
        <f t="shared" si="503"/>
        <v>6240000</v>
      </c>
      <c r="H2675" s="94"/>
      <c r="I2675" s="94">
        <v>143258.10999999999</v>
      </c>
      <c r="J2675" s="94">
        <v>53406.66</v>
      </c>
      <c r="K2675" s="25">
        <f>+G2675-H2675-I2675-J2675</f>
        <v>6043335.2299999995</v>
      </c>
      <c r="L2675" s="95">
        <f>+L2674-G2675</f>
        <v>832000</v>
      </c>
      <c r="M2675" s="96"/>
      <c r="N2675" s="96"/>
      <c r="O2675" s="130"/>
      <c r="P2675" s="126">
        <v>7773501555</v>
      </c>
      <c r="Q2675" s="127">
        <v>44166</v>
      </c>
      <c r="R2675" s="29">
        <v>312000</v>
      </c>
      <c r="S2675" s="29">
        <v>399400</v>
      </c>
      <c r="T2675" s="30"/>
    </row>
    <row r="2676" spans="1:20" s="31" customFormat="1" ht="15" hidden="1" x14ac:dyDescent="0.25">
      <c r="B2676" s="89"/>
      <c r="C2676" s="92" t="s">
        <v>2047</v>
      </c>
      <c r="D2676" s="23"/>
      <c r="E2676" s="91">
        <v>832000</v>
      </c>
      <c r="F2676" s="93"/>
      <c r="G2676" s="93">
        <f t="shared" si="503"/>
        <v>832000</v>
      </c>
      <c r="H2676" s="94"/>
      <c r="I2676" s="94"/>
      <c r="J2676" s="94"/>
      <c r="K2676" s="25">
        <f>+G2676-H2676-I2676-J2676</f>
        <v>832000</v>
      </c>
      <c r="L2676" s="95">
        <f>+L2675-G2676</f>
        <v>0</v>
      </c>
      <c r="M2676" s="96"/>
      <c r="N2676" s="96"/>
      <c r="O2676" s="130"/>
      <c r="P2676" s="126"/>
      <c r="Q2676" s="127"/>
      <c r="R2676" s="29"/>
      <c r="S2676" s="29"/>
      <c r="T2676" s="30"/>
    </row>
    <row r="2677" spans="1:20" ht="15" hidden="1" x14ac:dyDescent="0.25">
      <c r="A2677" s="21">
        <v>4242021</v>
      </c>
      <c r="B2677" s="9" t="s">
        <v>2527</v>
      </c>
      <c r="C2677" s="10"/>
      <c r="D2677" s="11">
        <f>969148020+452269076</f>
        <v>1421417096</v>
      </c>
      <c r="E2677" s="11">
        <f>+D2677</f>
        <v>1421417096</v>
      </c>
      <c r="F2677" s="11"/>
      <c r="G2677" s="11"/>
      <c r="H2677" s="11"/>
      <c r="I2677" s="11"/>
      <c r="J2677" s="11"/>
      <c r="K2677" s="11"/>
      <c r="L2677" s="11">
        <f>+D2677</f>
        <v>1421417096</v>
      </c>
      <c r="M2677" s="12"/>
      <c r="N2677" s="12"/>
      <c r="P2677" s="55"/>
      <c r="Q2677" s="55"/>
      <c r="R2677" s="14"/>
      <c r="S2677" s="14"/>
    </row>
    <row r="2678" spans="1:20" s="31" customFormat="1" ht="15" hidden="1" x14ac:dyDescent="0.25">
      <c r="B2678" s="89">
        <v>43992.083333333336</v>
      </c>
      <c r="C2678" s="92" t="s">
        <v>2528</v>
      </c>
      <c r="D2678" s="23"/>
      <c r="E2678" s="91">
        <v>62456205.740000002</v>
      </c>
      <c r="F2678" s="93"/>
      <c r="G2678" s="93">
        <f t="shared" ref="G2678:G2696" si="506">+E2678</f>
        <v>62456205.740000002</v>
      </c>
      <c r="H2678" s="94">
        <v>1495799.89</v>
      </c>
      <c r="I2678" s="94"/>
      <c r="J2678" s="94">
        <v>362141.02</v>
      </c>
      <c r="K2678" s="25">
        <f t="shared" ref="K2678:K2694" si="507">+G2678-H2678-I2678-J2678</f>
        <v>60598264.829999998</v>
      </c>
      <c r="L2678" s="95">
        <f t="shared" ref="L2678:L2698" si="508">+L2677-G2678</f>
        <v>1358960890.26</v>
      </c>
      <c r="M2678" s="96"/>
      <c r="N2678" s="96"/>
      <c r="O2678" s="130">
        <f>+L2700-'[1]ANEXO 7 - PPTO VIG 2019'!T96-'[1]ANEXO 7 - PPTO VIG 2020'!T98-'[1]ANEXO 7 - PPTO VIG 2021'!AB138</f>
        <v>0</v>
      </c>
      <c r="P2678" s="126"/>
      <c r="Q2678" s="127"/>
      <c r="R2678" s="29"/>
      <c r="S2678" s="29"/>
      <c r="T2678" s="30"/>
    </row>
    <row r="2679" spans="1:20" s="31" customFormat="1" ht="15" hidden="1" x14ac:dyDescent="0.25">
      <c r="B2679" s="89">
        <v>43992.083333333336</v>
      </c>
      <c r="C2679" s="92" t="s">
        <v>2529</v>
      </c>
      <c r="D2679" s="23"/>
      <c r="E2679" s="91">
        <v>64609868</v>
      </c>
      <c r="F2679" s="93"/>
      <c r="G2679" s="93">
        <f t="shared" si="506"/>
        <v>64609868</v>
      </c>
      <c r="H2679" s="94">
        <v>1547379.19</v>
      </c>
      <c r="I2679" s="94"/>
      <c r="J2679" s="94">
        <v>374628.65</v>
      </c>
      <c r="K2679" s="25">
        <f t="shared" si="507"/>
        <v>62687860.160000004</v>
      </c>
      <c r="L2679" s="95">
        <f t="shared" si="508"/>
        <v>1294351022.26</v>
      </c>
      <c r="M2679" s="96"/>
      <c r="N2679" s="96"/>
      <c r="P2679" s="126"/>
      <c r="Q2679" s="127"/>
      <c r="R2679" s="29"/>
      <c r="S2679" s="29"/>
      <c r="T2679" s="30"/>
    </row>
    <row r="2680" spans="1:20" s="31" customFormat="1" ht="15" hidden="1" x14ac:dyDescent="0.25">
      <c r="B2680" s="89">
        <v>44091.083333333336</v>
      </c>
      <c r="C2680" s="92" t="s">
        <v>2530</v>
      </c>
      <c r="D2680" s="23"/>
      <c r="E2680" s="91">
        <v>64609868</v>
      </c>
      <c r="F2680" s="93"/>
      <c r="G2680" s="93">
        <f t="shared" si="506"/>
        <v>64609868</v>
      </c>
      <c r="H2680" s="94">
        <v>1547379.19</v>
      </c>
      <c r="I2680" s="94"/>
      <c r="J2680" s="94">
        <v>374628.65</v>
      </c>
      <c r="K2680" s="25">
        <f t="shared" si="507"/>
        <v>62687860.160000004</v>
      </c>
      <c r="L2680" s="95">
        <f t="shared" si="508"/>
        <v>1229741154.26</v>
      </c>
      <c r="M2680" s="96"/>
      <c r="N2680" s="96"/>
      <c r="P2680" s="126"/>
      <c r="Q2680" s="127"/>
      <c r="R2680" s="29"/>
      <c r="S2680" s="29"/>
      <c r="T2680" s="30"/>
    </row>
    <row r="2681" spans="1:20" s="31" customFormat="1" ht="15" hidden="1" x14ac:dyDescent="0.25">
      <c r="B2681" s="89">
        <v>44091.083333333336</v>
      </c>
      <c r="C2681" s="92" t="s">
        <v>2531</v>
      </c>
      <c r="D2681" s="23"/>
      <c r="E2681" s="91">
        <v>64609868</v>
      </c>
      <c r="F2681" s="93"/>
      <c r="G2681" s="93">
        <f t="shared" si="506"/>
        <v>64609868</v>
      </c>
      <c r="H2681" s="94">
        <v>1547379.19</v>
      </c>
      <c r="I2681" s="94"/>
      <c r="J2681" s="94">
        <v>374628.65</v>
      </c>
      <c r="K2681" s="25">
        <f t="shared" si="507"/>
        <v>62687860.160000004</v>
      </c>
      <c r="L2681" s="95">
        <f t="shared" si="508"/>
        <v>1165131286.26</v>
      </c>
      <c r="M2681" s="96"/>
      <c r="N2681" s="96"/>
      <c r="P2681" s="126"/>
      <c r="Q2681" s="127"/>
      <c r="R2681" s="29"/>
      <c r="S2681" s="29"/>
      <c r="T2681" s="30"/>
    </row>
    <row r="2682" spans="1:20" s="31" customFormat="1" ht="15" hidden="1" x14ac:dyDescent="0.25">
      <c r="B2682" s="89">
        <v>44091.083333333336</v>
      </c>
      <c r="C2682" s="92" t="s">
        <v>2532</v>
      </c>
      <c r="D2682" s="23"/>
      <c r="E2682" s="91">
        <v>64609868</v>
      </c>
      <c r="F2682" s="93"/>
      <c r="G2682" s="93">
        <f t="shared" si="506"/>
        <v>64609868</v>
      </c>
      <c r="H2682" s="94">
        <v>1547379.19</v>
      </c>
      <c r="I2682" s="94"/>
      <c r="J2682" s="94">
        <v>374628.65</v>
      </c>
      <c r="K2682" s="25">
        <f t="shared" si="507"/>
        <v>62687860.160000004</v>
      </c>
      <c r="L2682" s="95">
        <f t="shared" si="508"/>
        <v>1100521418.26</v>
      </c>
      <c r="M2682" s="96"/>
      <c r="N2682" s="96"/>
      <c r="P2682" s="126"/>
      <c r="Q2682" s="127"/>
      <c r="R2682" s="29"/>
      <c r="S2682" s="29"/>
      <c r="T2682" s="30"/>
    </row>
    <row r="2683" spans="1:20" s="31" customFormat="1" ht="15" hidden="1" x14ac:dyDescent="0.25">
      <c r="B2683" s="89">
        <v>44091.083333333336</v>
      </c>
      <c r="C2683" s="92" t="s">
        <v>2533</v>
      </c>
      <c r="D2683" s="23"/>
      <c r="E2683" s="91">
        <v>64609868</v>
      </c>
      <c r="F2683" s="93"/>
      <c r="G2683" s="93">
        <f t="shared" si="506"/>
        <v>64609868</v>
      </c>
      <c r="H2683" s="94">
        <v>1547379.19</v>
      </c>
      <c r="I2683" s="94"/>
      <c r="J2683" s="94">
        <v>374628.65</v>
      </c>
      <c r="K2683" s="25">
        <f t="shared" si="507"/>
        <v>62687860.160000004</v>
      </c>
      <c r="L2683" s="95">
        <f t="shared" si="508"/>
        <v>1035911550.26</v>
      </c>
      <c r="M2683" s="96"/>
      <c r="N2683" s="96"/>
      <c r="P2683" s="126"/>
      <c r="Q2683" s="127"/>
      <c r="R2683" s="29"/>
      <c r="S2683" s="29"/>
      <c r="T2683" s="30"/>
    </row>
    <row r="2684" spans="1:20" s="31" customFormat="1" ht="15" hidden="1" x14ac:dyDescent="0.25">
      <c r="B2684" s="89">
        <v>44152.125</v>
      </c>
      <c r="C2684" s="92" t="s">
        <v>2534</v>
      </c>
      <c r="D2684" s="23"/>
      <c r="E2684" s="91">
        <v>64609868</v>
      </c>
      <c r="F2684" s="93"/>
      <c r="G2684" s="93">
        <f t="shared" si="506"/>
        <v>64609868</v>
      </c>
      <c r="H2684" s="94">
        <v>1547379.19</v>
      </c>
      <c r="I2684" s="94"/>
      <c r="J2684" s="94">
        <v>374628.65</v>
      </c>
      <c r="K2684" s="25">
        <f t="shared" si="507"/>
        <v>62687860.160000004</v>
      </c>
      <c r="L2684" s="95">
        <f t="shared" si="508"/>
        <v>971301682.25999999</v>
      </c>
      <c r="M2684" s="96"/>
      <c r="N2684" s="96"/>
      <c r="P2684" s="126"/>
      <c r="Q2684" s="127"/>
      <c r="R2684" s="29"/>
      <c r="S2684" s="29"/>
      <c r="T2684" s="30"/>
    </row>
    <row r="2685" spans="1:20" s="31" customFormat="1" ht="15" hidden="1" x14ac:dyDescent="0.25">
      <c r="B2685" s="89">
        <v>44152.125</v>
      </c>
      <c r="C2685" s="92" t="s">
        <v>2535</v>
      </c>
      <c r="D2685" s="23"/>
      <c r="E2685" s="91">
        <v>64609868</v>
      </c>
      <c r="F2685" s="93"/>
      <c r="G2685" s="93">
        <f t="shared" si="506"/>
        <v>64609868</v>
      </c>
      <c r="H2685" s="94">
        <v>1547379.19</v>
      </c>
      <c r="I2685" s="94"/>
      <c r="J2685" s="94">
        <v>374628.65</v>
      </c>
      <c r="K2685" s="25">
        <f t="shared" si="507"/>
        <v>62687860.160000004</v>
      </c>
      <c r="L2685" s="95">
        <f t="shared" si="508"/>
        <v>906691814.25999999</v>
      </c>
      <c r="M2685" s="96"/>
      <c r="N2685" s="96"/>
      <c r="P2685" s="126"/>
      <c r="Q2685" s="127"/>
      <c r="R2685" s="29"/>
      <c r="S2685" s="29"/>
      <c r="T2685" s="30"/>
    </row>
    <row r="2686" spans="1:20" s="31" customFormat="1" ht="15" hidden="1" x14ac:dyDescent="0.25">
      <c r="B2686" s="89">
        <v>44152.125</v>
      </c>
      <c r="C2686" s="92" t="s">
        <v>2536</v>
      </c>
      <c r="D2686" s="23"/>
      <c r="E2686" s="91">
        <v>64609868</v>
      </c>
      <c r="F2686" s="93"/>
      <c r="G2686" s="93">
        <f t="shared" si="506"/>
        <v>64609868</v>
      </c>
      <c r="H2686" s="94">
        <v>1547379.19</v>
      </c>
      <c r="I2686" s="94"/>
      <c r="J2686" s="94">
        <v>374628.65</v>
      </c>
      <c r="K2686" s="25">
        <f t="shared" si="507"/>
        <v>62687860.160000004</v>
      </c>
      <c r="L2686" s="95">
        <f t="shared" si="508"/>
        <v>842081946.25999999</v>
      </c>
      <c r="M2686" s="96"/>
      <c r="N2686" s="96"/>
      <c r="P2686" s="126"/>
      <c r="Q2686" s="127"/>
      <c r="R2686" s="29"/>
      <c r="S2686" s="29"/>
      <c r="T2686" s="30"/>
    </row>
    <row r="2687" spans="1:20" s="31" customFormat="1" ht="15" hidden="1" x14ac:dyDescent="0.25">
      <c r="B2687" s="89">
        <v>44169.125</v>
      </c>
      <c r="C2687" s="92" t="s">
        <v>2537</v>
      </c>
      <c r="D2687" s="23"/>
      <c r="E2687" s="91">
        <v>64609868</v>
      </c>
      <c r="F2687" s="93"/>
      <c r="G2687" s="93">
        <f t="shared" si="506"/>
        <v>64609868</v>
      </c>
      <c r="H2687" s="94">
        <v>1547379.19</v>
      </c>
      <c r="I2687" s="94"/>
      <c r="J2687" s="94">
        <v>374628.65</v>
      </c>
      <c r="K2687" s="25">
        <f t="shared" si="507"/>
        <v>62687860.160000004</v>
      </c>
      <c r="L2687" s="95">
        <f t="shared" si="508"/>
        <v>777472078.25999999</v>
      </c>
      <c r="M2687" s="96"/>
      <c r="N2687" s="96"/>
      <c r="P2687" s="126"/>
      <c r="Q2687" s="127"/>
      <c r="R2687" s="29"/>
      <c r="S2687" s="29"/>
      <c r="T2687" s="30"/>
    </row>
    <row r="2688" spans="1:20" s="31" customFormat="1" ht="15" hidden="1" x14ac:dyDescent="0.25">
      <c r="B2688" s="89">
        <v>44169.125</v>
      </c>
      <c r="C2688" s="92" t="s">
        <v>2538</v>
      </c>
      <c r="D2688" s="23"/>
      <c r="E2688" s="91">
        <v>64609868</v>
      </c>
      <c r="F2688" s="93"/>
      <c r="G2688" s="93">
        <f t="shared" si="506"/>
        <v>64609868</v>
      </c>
      <c r="H2688" s="94">
        <v>1547379.19</v>
      </c>
      <c r="I2688" s="94"/>
      <c r="J2688" s="94">
        <v>374628.65</v>
      </c>
      <c r="K2688" s="25">
        <f t="shared" si="507"/>
        <v>62687860.160000004</v>
      </c>
      <c r="L2688" s="95">
        <f t="shared" si="508"/>
        <v>712862210.25999999</v>
      </c>
      <c r="M2688" s="96"/>
      <c r="N2688" s="96"/>
      <c r="P2688" s="126"/>
      <c r="Q2688" s="127"/>
      <c r="R2688" s="29"/>
      <c r="S2688" s="29"/>
      <c r="T2688" s="30"/>
    </row>
    <row r="2689" spans="2:24" s="31" customFormat="1" ht="15" hidden="1" x14ac:dyDescent="0.25">
      <c r="B2689" s="89">
        <v>44189.125</v>
      </c>
      <c r="C2689" s="92" t="s">
        <v>2539</v>
      </c>
      <c r="D2689" s="23"/>
      <c r="E2689" s="91">
        <v>64609868</v>
      </c>
      <c r="F2689" s="93"/>
      <c r="G2689" s="93">
        <f t="shared" si="506"/>
        <v>64609868</v>
      </c>
      <c r="H2689" s="94">
        <v>1547379.15</v>
      </c>
      <c r="I2689" s="94"/>
      <c r="J2689" s="94">
        <v>374628.65</v>
      </c>
      <c r="K2689" s="25">
        <f t="shared" si="507"/>
        <v>62687860.200000003</v>
      </c>
      <c r="L2689" s="95">
        <f t="shared" si="508"/>
        <v>648252342.25999999</v>
      </c>
      <c r="M2689" s="96"/>
      <c r="N2689" s="96"/>
      <c r="P2689" s="126"/>
      <c r="Q2689" s="127"/>
      <c r="R2689" s="29"/>
      <c r="S2689" s="29"/>
      <c r="T2689" s="30"/>
    </row>
    <row r="2690" spans="2:24" s="31" customFormat="1" ht="15" hidden="1" x14ac:dyDescent="0.25">
      <c r="B2690" s="89">
        <v>44250.125</v>
      </c>
      <c r="C2690" s="92" t="s">
        <v>2540</v>
      </c>
      <c r="D2690" s="23"/>
      <c r="E2690" s="91">
        <v>64609868</v>
      </c>
      <c r="F2690" s="93"/>
      <c r="G2690" s="93">
        <f t="shared" si="506"/>
        <v>64609868</v>
      </c>
      <c r="H2690" s="94">
        <v>1547379.15</v>
      </c>
      <c r="I2690" s="94"/>
      <c r="J2690" s="94">
        <v>374628.65</v>
      </c>
      <c r="K2690" s="25">
        <f t="shared" si="507"/>
        <v>62687860.200000003</v>
      </c>
      <c r="L2690" s="95">
        <f t="shared" si="508"/>
        <v>583642474.25999999</v>
      </c>
      <c r="M2690" s="96"/>
      <c r="N2690" s="96"/>
      <c r="P2690" s="126"/>
      <c r="Q2690" s="127"/>
      <c r="R2690" s="29"/>
      <c r="S2690" s="29"/>
      <c r="T2690" s="30"/>
    </row>
    <row r="2691" spans="2:24" s="31" customFormat="1" ht="15" hidden="1" x14ac:dyDescent="0.25">
      <c r="B2691" s="89">
        <v>44272.083333333336</v>
      </c>
      <c r="C2691" s="92" t="s">
        <v>2541</v>
      </c>
      <c r="D2691" s="23"/>
      <c r="E2691" s="91">
        <v>64609868</v>
      </c>
      <c r="F2691" s="93"/>
      <c r="G2691" s="93">
        <f t="shared" si="506"/>
        <v>64609868</v>
      </c>
      <c r="H2691" s="94">
        <v>1547379.15</v>
      </c>
      <c r="I2691" s="94">
        <v>0</v>
      </c>
      <c r="J2691" s="94">
        <v>374628.65</v>
      </c>
      <c r="K2691" s="25">
        <f t="shared" si="507"/>
        <v>62687860.200000003</v>
      </c>
      <c r="L2691" s="95">
        <f t="shared" si="508"/>
        <v>519032606.25999999</v>
      </c>
      <c r="M2691" s="96"/>
      <c r="N2691" s="96"/>
      <c r="P2691" s="126"/>
      <c r="Q2691" s="127"/>
      <c r="R2691" s="29"/>
      <c r="S2691" s="29"/>
      <c r="T2691" s="30"/>
    </row>
    <row r="2692" spans="2:24" s="31" customFormat="1" ht="15" hidden="1" x14ac:dyDescent="0.25">
      <c r="B2692" s="89">
        <v>44293.083333333336</v>
      </c>
      <c r="C2692" s="92" t="s">
        <v>2542</v>
      </c>
      <c r="D2692" s="23"/>
      <c r="E2692" s="91">
        <v>64609868</v>
      </c>
      <c r="F2692" s="93"/>
      <c r="G2692" s="93">
        <f t="shared" si="506"/>
        <v>64609868</v>
      </c>
      <c r="H2692" s="94">
        <v>1547379.15</v>
      </c>
      <c r="I2692" s="94">
        <v>0</v>
      </c>
      <c r="J2692" s="94">
        <v>374628.65</v>
      </c>
      <c r="K2692" s="25">
        <f t="shared" si="507"/>
        <v>62687860.200000003</v>
      </c>
      <c r="L2692" s="95">
        <f t="shared" si="508"/>
        <v>454422738.25999999</v>
      </c>
      <c r="M2692" s="96"/>
      <c r="N2692" s="96"/>
      <c r="P2692" s="126"/>
      <c r="Q2692" s="127"/>
      <c r="R2692" s="29"/>
      <c r="S2692" s="29"/>
      <c r="T2692" s="30"/>
    </row>
    <row r="2693" spans="2:24" s="31" customFormat="1" ht="15" hidden="1" x14ac:dyDescent="0.25">
      <c r="B2693" s="89">
        <v>44363.083333333336</v>
      </c>
      <c r="C2693" s="92" t="s">
        <v>2543</v>
      </c>
      <c r="D2693" s="23"/>
      <c r="E2693" s="91">
        <v>64609868</v>
      </c>
      <c r="F2693" s="93"/>
      <c r="G2693" s="93">
        <f t="shared" si="506"/>
        <v>64609868</v>
      </c>
      <c r="H2693" s="94">
        <v>1547379.15</v>
      </c>
      <c r="I2693" s="94">
        <v>0</v>
      </c>
      <c r="J2693" s="94">
        <v>374628.65</v>
      </c>
      <c r="K2693" s="25">
        <f t="shared" si="507"/>
        <v>62687860.200000003</v>
      </c>
      <c r="L2693" s="95">
        <f t="shared" si="508"/>
        <v>389812870.25999999</v>
      </c>
      <c r="M2693" s="96"/>
      <c r="N2693" s="96"/>
      <c r="P2693" s="126"/>
      <c r="Q2693" s="127"/>
      <c r="R2693" s="29"/>
      <c r="S2693" s="29"/>
      <c r="T2693" s="30"/>
    </row>
    <row r="2694" spans="2:24" s="31" customFormat="1" ht="15" hidden="1" x14ac:dyDescent="0.25">
      <c r="B2694" s="89">
        <v>44363.083333333336</v>
      </c>
      <c r="C2694" s="92" t="s">
        <v>2544</v>
      </c>
      <c r="D2694" s="23"/>
      <c r="E2694" s="91">
        <v>64609868</v>
      </c>
      <c r="F2694" s="93"/>
      <c r="G2694" s="93">
        <f t="shared" si="506"/>
        <v>64609868</v>
      </c>
      <c r="H2694" s="94">
        <v>1547379.15</v>
      </c>
      <c r="I2694" s="94">
        <v>0</v>
      </c>
      <c r="J2694" s="94">
        <v>374628.65</v>
      </c>
      <c r="K2694" s="25">
        <f t="shared" si="507"/>
        <v>62687860.200000003</v>
      </c>
      <c r="L2694" s="95">
        <f t="shared" si="508"/>
        <v>325203002.25999999</v>
      </c>
      <c r="M2694" s="96"/>
      <c r="N2694" s="96"/>
      <c r="P2694" s="126"/>
      <c r="Q2694" s="127"/>
      <c r="R2694" s="29"/>
      <c r="S2694" s="29"/>
      <c r="T2694" s="30"/>
    </row>
    <row r="2695" spans="2:24" s="31" customFormat="1" ht="15" hidden="1" x14ac:dyDescent="0.25">
      <c r="B2695" s="89">
        <v>44403.083333333336</v>
      </c>
      <c r="C2695" s="92" t="s">
        <v>2545</v>
      </c>
      <c r="D2695" s="23"/>
      <c r="E2695" s="91">
        <v>64609868</v>
      </c>
      <c r="F2695" s="93"/>
      <c r="G2695" s="93">
        <f t="shared" si="506"/>
        <v>64609868</v>
      </c>
      <c r="H2695" s="94">
        <v>1547379.15</v>
      </c>
      <c r="I2695" s="94"/>
      <c r="J2695" s="94">
        <v>374628.65</v>
      </c>
      <c r="K2695" s="25">
        <v>62687860.200000003</v>
      </c>
      <c r="L2695" s="95">
        <f t="shared" si="508"/>
        <v>260593134.25999999</v>
      </c>
      <c r="M2695" s="96"/>
      <c r="N2695" s="96"/>
      <c r="P2695" s="126"/>
      <c r="Q2695" s="127"/>
      <c r="R2695" s="29"/>
      <c r="S2695" s="29"/>
      <c r="T2695" s="30"/>
    </row>
    <row r="2696" spans="2:24" s="31" customFormat="1" ht="15" hidden="1" x14ac:dyDescent="0.25">
      <c r="B2696" s="89">
        <v>44403.083333333336</v>
      </c>
      <c r="C2696" s="92" t="s">
        <v>2546</v>
      </c>
      <c r="D2696" s="23"/>
      <c r="E2696" s="91">
        <v>64609868</v>
      </c>
      <c r="F2696" s="93"/>
      <c r="G2696" s="93">
        <f t="shared" si="506"/>
        <v>64609868</v>
      </c>
      <c r="H2696" s="94">
        <v>1547379.15</v>
      </c>
      <c r="I2696" s="94"/>
      <c r="J2696" s="94">
        <v>374628.65</v>
      </c>
      <c r="K2696" s="25">
        <v>62687860.200000003</v>
      </c>
      <c r="L2696" s="95">
        <f t="shared" si="508"/>
        <v>195983266.25999999</v>
      </c>
      <c r="M2696" s="96"/>
      <c r="N2696" s="96"/>
      <c r="P2696" s="126"/>
      <c r="Q2696" s="127"/>
      <c r="R2696" s="29"/>
      <c r="S2696" s="29"/>
      <c r="T2696" s="30"/>
    </row>
    <row r="2697" spans="2:24" s="31" customFormat="1" ht="15" hidden="1" x14ac:dyDescent="0.25">
      <c r="B2697" s="89">
        <v>44425.083333333336</v>
      </c>
      <c r="C2697" s="92" t="s">
        <v>2547</v>
      </c>
      <c r="D2697" s="23"/>
      <c r="E2697" s="91">
        <v>64609868</v>
      </c>
      <c r="F2697" s="93"/>
      <c r="G2697" s="93">
        <f>+E2697</f>
        <v>64609868</v>
      </c>
      <c r="H2697" s="94">
        <v>1547379.15</v>
      </c>
      <c r="I2697" s="94"/>
      <c r="J2697" s="94">
        <v>374628.65</v>
      </c>
      <c r="K2697" s="25">
        <f>+G2697-H2697-I2697-J2697</f>
        <v>62687860.200000003</v>
      </c>
      <c r="L2697" s="95">
        <f t="shared" si="508"/>
        <v>131373398.25999999</v>
      </c>
      <c r="M2697" s="96"/>
      <c r="N2697" s="96"/>
      <c r="P2697" s="126"/>
      <c r="Q2697" s="127"/>
      <c r="R2697" s="29"/>
      <c r="S2697" s="29"/>
      <c r="T2697" s="30"/>
      <c r="W2697" s="31">
        <v>64609868</v>
      </c>
      <c r="X2697" s="131">
        <f>+E2697-W2697</f>
        <v>0</v>
      </c>
    </row>
    <row r="2698" spans="2:24" s="31" customFormat="1" ht="15" hidden="1" x14ac:dyDescent="0.25">
      <c r="B2698" s="89">
        <v>44442.083333333336</v>
      </c>
      <c r="C2698" s="284" t="s">
        <v>2548</v>
      </c>
      <c r="D2698" s="285"/>
      <c r="E2698" s="203">
        <v>64609868</v>
      </c>
      <c r="F2698" s="201"/>
      <c r="G2698" s="201">
        <f>+E2698</f>
        <v>64609868</v>
      </c>
      <c r="H2698" s="202">
        <v>1547379.15</v>
      </c>
      <c r="I2698" s="202"/>
      <c r="J2698" s="202">
        <v>374628.65</v>
      </c>
      <c r="K2698" s="204">
        <f>+G2698-H2698-I2698-J2698</f>
        <v>62687860.200000003</v>
      </c>
      <c r="L2698" s="95">
        <f t="shared" si="508"/>
        <v>66763530.25999999</v>
      </c>
      <c r="M2698" s="96"/>
      <c r="N2698" s="96"/>
      <c r="P2698" s="126"/>
      <c r="Q2698" s="127"/>
      <c r="R2698" s="29"/>
      <c r="S2698" s="29"/>
      <c r="T2698" s="30"/>
      <c r="X2698" s="131"/>
    </row>
    <row r="2699" spans="2:24" s="31" customFormat="1" ht="15" x14ac:dyDescent="0.25">
      <c r="B2699" s="100">
        <v>44642.083333333336</v>
      </c>
      <c r="C2699" s="92" t="s">
        <v>2549</v>
      </c>
      <c r="D2699" s="23"/>
      <c r="E2699" s="91">
        <v>64609868</v>
      </c>
      <c r="F2699" s="93"/>
      <c r="G2699" s="93">
        <f>+E2699</f>
        <v>64609868</v>
      </c>
      <c r="H2699" s="94">
        <v>1547379.15</v>
      </c>
      <c r="I2699" s="94">
        <v>0</v>
      </c>
      <c r="J2699" s="94">
        <v>470186.1</v>
      </c>
      <c r="K2699" s="25">
        <f>+G2699-H2699-I2699-J2699</f>
        <v>62592302.75</v>
      </c>
      <c r="L2699" s="95">
        <f>+L2698-G2699</f>
        <v>2153662.2599999905</v>
      </c>
      <c r="M2699" s="96"/>
      <c r="N2699" s="96"/>
      <c r="P2699" s="126"/>
      <c r="Q2699" s="127"/>
      <c r="R2699" s="29"/>
      <c r="S2699" s="29"/>
      <c r="T2699" s="30"/>
      <c r="X2699" s="131"/>
    </row>
    <row r="2700" spans="2:24" s="31" customFormat="1" ht="15" hidden="1" x14ac:dyDescent="0.25">
      <c r="B2700" s="89"/>
      <c r="C2700" s="290" t="s">
        <v>2047</v>
      </c>
      <c r="D2700" s="291"/>
      <c r="E2700" s="292"/>
      <c r="F2700" s="207"/>
      <c r="G2700" s="207">
        <v>2153662.2599999905</v>
      </c>
      <c r="H2700" s="293">
        <v>1547379.15</v>
      </c>
      <c r="I2700" s="293">
        <v>0</v>
      </c>
      <c r="J2700" s="293"/>
      <c r="K2700" s="208"/>
      <c r="L2700" s="95">
        <f>+L2699-G2700</f>
        <v>0</v>
      </c>
      <c r="M2700" s="96"/>
      <c r="N2700" s="96"/>
      <c r="P2700" s="126"/>
      <c r="Q2700" s="127"/>
      <c r="R2700" s="29"/>
      <c r="S2700" s="29"/>
      <c r="T2700" s="30"/>
      <c r="X2700" s="131"/>
    </row>
    <row r="2701" spans="2:24" ht="15" hidden="1" x14ac:dyDescent="0.25">
      <c r="B2701" s="9" t="s">
        <v>2550</v>
      </c>
      <c r="C2701" s="10"/>
      <c r="D2701" s="11">
        <v>51100000</v>
      </c>
      <c r="E2701" s="11">
        <f>+D2701</f>
        <v>51100000</v>
      </c>
      <c r="F2701" s="11"/>
      <c r="G2701" s="11"/>
      <c r="H2701" s="11"/>
      <c r="I2701" s="11"/>
      <c r="J2701" s="11"/>
      <c r="K2701" s="11"/>
      <c r="L2701" s="11">
        <f>+D2701</f>
        <v>51100000</v>
      </c>
      <c r="M2701" s="12"/>
      <c r="N2701" s="12"/>
      <c r="P2701" s="55"/>
      <c r="Q2701" s="55"/>
      <c r="R2701" s="14"/>
      <c r="S2701" s="14"/>
    </row>
    <row r="2702" spans="2:24" ht="15" hidden="1" x14ac:dyDescent="0.25">
      <c r="B2702" s="89">
        <v>44001.083333333336</v>
      </c>
      <c r="C2702" s="92" t="s">
        <v>2551</v>
      </c>
      <c r="D2702" s="23"/>
      <c r="E2702" s="91">
        <v>933333</v>
      </c>
      <c r="F2702" s="93"/>
      <c r="G2702" s="93">
        <f t="shared" ref="G2702:G2707" si="509">+E2702</f>
        <v>933333</v>
      </c>
      <c r="H2702" s="94"/>
      <c r="I2702" s="94"/>
      <c r="J2702" s="94">
        <v>8280.23</v>
      </c>
      <c r="K2702" s="25">
        <f t="shared" ref="K2702:K2707" si="510">+G2702-H2702-I2702-J2702</f>
        <v>925052.77</v>
      </c>
      <c r="L2702" s="95">
        <f t="shared" ref="L2702:L2707" si="511">+L2701-G2702</f>
        <v>50166667</v>
      </c>
      <c r="M2702" s="96"/>
      <c r="N2702" s="96"/>
      <c r="O2702" s="130">
        <f>+L2710-'[1]ANEXO 7 - PPTO VIG 2020'!T110</f>
        <v>0</v>
      </c>
      <c r="P2702" s="55">
        <v>641927222</v>
      </c>
      <c r="Q2702" s="97">
        <v>43952</v>
      </c>
      <c r="R2702" s="14">
        <v>122600</v>
      </c>
      <c r="S2702" s="14">
        <v>29500</v>
      </c>
    </row>
    <row r="2703" spans="2:24" ht="15" hidden="1" x14ac:dyDescent="0.25">
      <c r="B2703" s="89">
        <v>44027.083333333336</v>
      </c>
      <c r="C2703" s="92" t="s">
        <v>2552</v>
      </c>
      <c r="D2703" s="23"/>
      <c r="E2703" s="91">
        <v>7000000</v>
      </c>
      <c r="F2703" s="93"/>
      <c r="G2703" s="93">
        <f t="shared" si="509"/>
        <v>7000000</v>
      </c>
      <c r="H2703" s="94"/>
      <c r="I2703" s="94">
        <v>139233.91</v>
      </c>
      <c r="J2703" s="94">
        <v>59911.32</v>
      </c>
      <c r="K2703" s="25">
        <f t="shared" si="510"/>
        <v>6800854.7699999996</v>
      </c>
      <c r="L2703" s="95">
        <f t="shared" si="511"/>
        <v>43166667</v>
      </c>
      <c r="M2703" s="96"/>
      <c r="N2703" s="96"/>
      <c r="O2703" s="130"/>
      <c r="P2703" s="55">
        <v>43507910</v>
      </c>
      <c r="Q2703" s="97">
        <v>43983</v>
      </c>
      <c r="R2703" s="14">
        <v>350000</v>
      </c>
      <c r="S2703" s="14">
        <v>448000</v>
      </c>
    </row>
    <row r="2704" spans="2:24" ht="15" hidden="1" x14ac:dyDescent="0.25">
      <c r="B2704" s="89">
        <v>44048.083333333336</v>
      </c>
      <c r="C2704" s="92" t="s">
        <v>2553</v>
      </c>
      <c r="D2704" s="23"/>
      <c r="E2704" s="91">
        <v>7000000</v>
      </c>
      <c r="F2704" s="93"/>
      <c r="G2704" s="93">
        <f t="shared" si="509"/>
        <v>7000000</v>
      </c>
      <c r="H2704" s="94"/>
      <c r="I2704" s="94">
        <v>139233.91</v>
      </c>
      <c r="J2704" s="94">
        <v>59911.32</v>
      </c>
      <c r="K2704" s="25">
        <f t="shared" si="510"/>
        <v>6800854.7699999996</v>
      </c>
      <c r="L2704" s="95">
        <f t="shared" si="511"/>
        <v>36166667</v>
      </c>
      <c r="M2704" s="96"/>
      <c r="N2704" s="96"/>
      <c r="O2704" s="130"/>
      <c r="P2704" s="55">
        <v>44126475</v>
      </c>
      <c r="Q2704" s="97">
        <v>44013</v>
      </c>
      <c r="R2704" s="14">
        <v>350000</v>
      </c>
      <c r="S2704" s="14">
        <v>448000</v>
      </c>
    </row>
    <row r="2705" spans="2:20" ht="15" hidden="1" x14ac:dyDescent="0.25">
      <c r="B2705" s="89">
        <v>44076.083333333336</v>
      </c>
      <c r="C2705" s="92" t="s">
        <v>2554</v>
      </c>
      <c r="D2705" s="23"/>
      <c r="E2705" s="91">
        <v>7000000</v>
      </c>
      <c r="F2705" s="93"/>
      <c r="G2705" s="93">
        <f t="shared" si="509"/>
        <v>7000000</v>
      </c>
      <c r="H2705" s="94"/>
      <c r="I2705" s="94">
        <v>139233.91</v>
      </c>
      <c r="J2705" s="94">
        <v>59911.32</v>
      </c>
      <c r="K2705" s="25">
        <f t="shared" si="510"/>
        <v>6800854.7699999996</v>
      </c>
      <c r="L2705" s="95">
        <f t="shared" si="511"/>
        <v>29166667</v>
      </c>
      <c r="M2705" s="96"/>
      <c r="N2705" s="96"/>
      <c r="O2705" s="130"/>
      <c r="P2705" s="55">
        <v>44713054</v>
      </c>
      <c r="Q2705" s="97">
        <v>44044</v>
      </c>
      <c r="R2705" s="14">
        <v>350000</v>
      </c>
      <c r="S2705" s="14">
        <v>448000</v>
      </c>
    </row>
    <row r="2706" spans="2:20" ht="15" hidden="1" x14ac:dyDescent="0.25">
      <c r="B2706" s="89">
        <v>44110.083333333336</v>
      </c>
      <c r="C2706" s="92" t="s">
        <v>2555</v>
      </c>
      <c r="D2706" s="23"/>
      <c r="E2706" s="91">
        <v>7000000</v>
      </c>
      <c r="F2706" s="93"/>
      <c r="G2706" s="93">
        <f t="shared" si="509"/>
        <v>7000000</v>
      </c>
      <c r="H2706" s="94"/>
      <c r="I2706" s="94">
        <v>139233.91</v>
      </c>
      <c r="J2706" s="94">
        <v>59911.32</v>
      </c>
      <c r="K2706" s="25">
        <f t="shared" si="510"/>
        <v>6800854.7699999996</v>
      </c>
      <c r="L2706" s="95">
        <f t="shared" si="511"/>
        <v>22166667</v>
      </c>
      <c r="M2706" s="96"/>
      <c r="N2706" s="96"/>
      <c r="O2706" s="130"/>
      <c r="P2706" s="55">
        <v>45283144</v>
      </c>
      <c r="Q2706" s="97">
        <v>44075</v>
      </c>
      <c r="R2706" s="14">
        <v>350000</v>
      </c>
      <c r="S2706" s="14">
        <v>448000</v>
      </c>
    </row>
    <row r="2707" spans="2:20" ht="15" hidden="1" x14ac:dyDescent="0.25">
      <c r="B2707" s="89">
        <v>44144.125</v>
      </c>
      <c r="C2707" s="92" t="s">
        <v>2556</v>
      </c>
      <c r="D2707" s="23"/>
      <c r="E2707" s="91">
        <v>7000000</v>
      </c>
      <c r="F2707" s="93"/>
      <c r="G2707" s="93">
        <f t="shared" si="509"/>
        <v>7000000</v>
      </c>
      <c r="H2707" s="94"/>
      <c r="I2707" s="94">
        <v>139233.91</v>
      </c>
      <c r="J2707" s="94">
        <v>59911.32</v>
      </c>
      <c r="K2707" s="25">
        <f t="shared" si="510"/>
        <v>6800854.7699999996</v>
      </c>
      <c r="L2707" s="95">
        <f t="shared" si="511"/>
        <v>15166667</v>
      </c>
      <c r="M2707" s="96"/>
      <c r="N2707" s="96"/>
      <c r="O2707" s="130"/>
      <c r="P2707" s="55">
        <v>46047935</v>
      </c>
      <c r="Q2707" s="97">
        <v>44105</v>
      </c>
      <c r="R2707" s="14">
        <v>350000</v>
      </c>
      <c r="S2707" s="14">
        <v>448000</v>
      </c>
    </row>
    <row r="2708" spans="2:20" ht="15" hidden="1" x14ac:dyDescent="0.25">
      <c r="B2708" s="89">
        <v>44175.125</v>
      </c>
      <c r="C2708" s="92" t="s">
        <v>2557</v>
      </c>
      <c r="D2708" s="23"/>
      <c r="E2708" s="91">
        <v>7000000</v>
      </c>
      <c r="F2708" s="93"/>
      <c r="G2708" s="93">
        <f>+E2708</f>
        <v>7000000</v>
      </c>
      <c r="H2708" s="94"/>
      <c r="I2708" s="94">
        <v>139233.91</v>
      </c>
      <c r="J2708" s="94">
        <v>59911.32</v>
      </c>
      <c r="K2708" s="25">
        <f>+G2708-H2708-I2708-J2708</f>
        <v>6800854.7699999996</v>
      </c>
      <c r="L2708" s="95">
        <f>+L2707-G2708</f>
        <v>8166667</v>
      </c>
      <c r="M2708" s="96"/>
      <c r="N2708" s="96"/>
      <c r="O2708" s="130"/>
      <c r="P2708" s="55">
        <v>46613636</v>
      </c>
      <c r="Q2708" s="97">
        <v>44136</v>
      </c>
      <c r="R2708" s="14">
        <v>350000</v>
      </c>
      <c r="S2708" s="14">
        <v>448000</v>
      </c>
    </row>
    <row r="2709" spans="2:20" ht="15" hidden="1" x14ac:dyDescent="0.25">
      <c r="B2709" s="89">
        <v>44193.125</v>
      </c>
      <c r="C2709" s="92" t="s">
        <v>2558</v>
      </c>
      <c r="D2709" s="23"/>
      <c r="E2709" s="91">
        <v>7000000</v>
      </c>
      <c r="F2709" s="93"/>
      <c r="G2709" s="93">
        <f>+E2709</f>
        <v>7000000</v>
      </c>
      <c r="H2709" s="94"/>
      <c r="I2709" s="94">
        <v>139233.91</v>
      </c>
      <c r="J2709" s="94">
        <v>59911.32</v>
      </c>
      <c r="K2709" s="25">
        <f>+G2709-H2709-I2709-J2709</f>
        <v>6800854.7699999996</v>
      </c>
      <c r="L2709" s="95">
        <f>+L2708-G2709</f>
        <v>1166667</v>
      </c>
      <c r="M2709" s="96"/>
      <c r="N2709" s="96"/>
      <c r="O2709" s="130"/>
      <c r="P2709" s="55">
        <v>47302195</v>
      </c>
      <c r="Q2709" s="97">
        <v>44166</v>
      </c>
      <c r="R2709" s="14">
        <v>350000</v>
      </c>
      <c r="S2709" s="14">
        <v>448000</v>
      </c>
    </row>
    <row r="2710" spans="2:20" ht="15" hidden="1" x14ac:dyDescent="0.25">
      <c r="B2710" s="89"/>
      <c r="C2710" s="92" t="s">
        <v>2047</v>
      </c>
      <c r="D2710" s="23"/>
      <c r="E2710" s="91">
        <v>1166667</v>
      </c>
      <c r="F2710" s="93"/>
      <c r="G2710" s="93">
        <f>+E2710</f>
        <v>1166667</v>
      </c>
      <c r="H2710" s="94"/>
      <c r="I2710" s="94"/>
      <c r="J2710" s="94"/>
      <c r="K2710" s="25">
        <f>+G2710-H2710-I2710-J2710</f>
        <v>1166667</v>
      </c>
      <c r="L2710" s="95">
        <f>+L2709-G2710</f>
        <v>0</v>
      </c>
      <c r="M2710" s="96"/>
      <c r="N2710" s="96"/>
      <c r="O2710" s="130"/>
      <c r="P2710" s="55"/>
      <c r="Q2710" s="97"/>
      <c r="R2710" s="14"/>
      <c r="S2710" s="14"/>
    </row>
    <row r="2711" spans="2:20" ht="15" hidden="1" x14ac:dyDescent="0.25">
      <c r="B2711" s="9" t="s">
        <v>2559</v>
      </c>
      <c r="C2711" s="10"/>
      <c r="D2711" s="11">
        <v>40040000</v>
      </c>
      <c r="E2711" s="11">
        <f>+D2711</f>
        <v>40040000</v>
      </c>
      <c r="F2711" s="11"/>
      <c r="G2711" s="11"/>
      <c r="H2711" s="11"/>
      <c r="I2711" s="11"/>
      <c r="J2711" s="11"/>
      <c r="K2711" s="11"/>
      <c r="L2711" s="11">
        <f>+D2711</f>
        <v>40040000</v>
      </c>
      <c r="M2711" s="12"/>
      <c r="N2711" s="12"/>
      <c r="P2711" s="55"/>
      <c r="Q2711" s="55"/>
      <c r="R2711" s="14"/>
      <c r="S2711" s="14"/>
    </row>
    <row r="2712" spans="2:20" ht="15" hidden="1" x14ac:dyDescent="0.25">
      <c r="B2712" s="89">
        <v>44013</v>
      </c>
      <c r="C2712" s="92" t="s">
        <v>2560</v>
      </c>
      <c r="D2712" s="23"/>
      <c r="E2712" s="91">
        <v>3293333</v>
      </c>
      <c r="F2712" s="93"/>
      <c r="G2712" s="93">
        <f t="shared" ref="G2712:G2717" si="512">+E2712</f>
        <v>3293333</v>
      </c>
      <c r="H2712" s="94"/>
      <c r="I2712" s="94"/>
      <c r="J2712" s="94">
        <v>29620.13</v>
      </c>
      <c r="K2712" s="25">
        <f t="shared" ref="K2712:K2717" si="513">+G2712-H2712-I2712-J2712</f>
        <v>3263712.87</v>
      </c>
      <c r="L2712" s="95">
        <f t="shared" ref="L2712:L2717" si="514">+L2711-G2712</f>
        <v>36746667</v>
      </c>
      <c r="M2712" s="96"/>
      <c r="N2712" s="96"/>
      <c r="O2712" s="130">
        <f>+L2720-'[1]ANEXO 7 - PPTO VIG 2020'!T54</f>
        <v>0</v>
      </c>
      <c r="P2712" s="55">
        <v>43007365</v>
      </c>
      <c r="Q2712" s="97">
        <v>43952</v>
      </c>
      <c r="R2712" s="14">
        <v>260000</v>
      </c>
      <c r="S2712" s="14">
        <v>62400</v>
      </c>
    </row>
    <row r="2713" spans="2:20" ht="15" hidden="1" x14ac:dyDescent="0.25">
      <c r="B2713" s="89">
        <v>44025.083333333336</v>
      </c>
      <c r="C2713" s="92" t="s">
        <v>2561</v>
      </c>
      <c r="D2713" s="23"/>
      <c r="E2713" s="91">
        <v>5200000</v>
      </c>
      <c r="F2713" s="93"/>
      <c r="G2713" s="93">
        <f t="shared" si="512"/>
        <v>5200000</v>
      </c>
      <c r="H2713" s="94"/>
      <c r="I2713" s="94"/>
      <c r="J2713" s="91">
        <v>44505.55</v>
      </c>
      <c r="K2713" s="25">
        <f t="shared" si="513"/>
        <v>5155494.45</v>
      </c>
      <c r="L2713" s="95">
        <f t="shared" si="514"/>
        <v>31546667</v>
      </c>
      <c r="M2713" s="96"/>
      <c r="N2713" s="96"/>
      <c r="O2713" s="130"/>
      <c r="P2713" s="55">
        <v>43515659</v>
      </c>
      <c r="Q2713" s="97">
        <v>43983</v>
      </c>
      <c r="R2713" s="14">
        <v>260000</v>
      </c>
      <c r="S2713" s="14">
        <v>332800</v>
      </c>
    </row>
    <row r="2714" spans="2:20" ht="15" hidden="1" x14ac:dyDescent="0.25">
      <c r="B2714" s="89">
        <v>44053.083333333336</v>
      </c>
      <c r="C2714" s="92" t="s">
        <v>2562</v>
      </c>
      <c r="D2714" s="23"/>
      <c r="E2714" s="91">
        <v>5200000</v>
      </c>
      <c r="F2714" s="93"/>
      <c r="G2714" s="93">
        <f t="shared" si="512"/>
        <v>5200000</v>
      </c>
      <c r="H2714" s="94"/>
      <c r="I2714" s="94"/>
      <c r="J2714" s="91">
        <v>44505.55</v>
      </c>
      <c r="K2714" s="25">
        <f t="shared" si="513"/>
        <v>5155494.45</v>
      </c>
      <c r="L2714" s="95">
        <f t="shared" si="514"/>
        <v>26346667</v>
      </c>
      <c r="M2714" s="96"/>
      <c r="N2714" s="96"/>
      <c r="O2714" s="130"/>
      <c r="P2714" s="55">
        <v>682282789</v>
      </c>
      <c r="Q2714" s="97">
        <v>44013</v>
      </c>
      <c r="R2714" s="14">
        <v>260000</v>
      </c>
      <c r="S2714" s="14">
        <v>332800</v>
      </c>
    </row>
    <row r="2715" spans="2:20" ht="15" hidden="1" x14ac:dyDescent="0.25">
      <c r="B2715" s="89">
        <v>44077.083333333336</v>
      </c>
      <c r="C2715" s="92" t="s">
        <v>2563</v>
      </c>
      <c r="D2715" s="23"/>
      <c r="E2715" s="91">
        <v>5200000</v>
      </c>
      <c r="F2715" s="93"/>
      <c r="G2715" s="93">
        <f t="shared" si="512"/>
        <v>5200000</v>
      </c>
      <c r="H2715" s="94"/>
      <c r="I2715" s="94"/>
      <c r="J2715" s="91">
        <v>44505.55</v>
      </c>
      <c r="K2715" s="25">
        <f t="shared" si="513"/>
        <v>5155494.45</v>
      </c>
      <c r="L2715" s="95">
        <f t="shared" si="514"/>
        <v>21146667</v>
      </c>
      <c r="M2715" s="96"/>
      <c r="N2715" s="96"/>
      <c r="O2715" s="130"/>
      <c r="P2715" s="55">
        <v>44701538</v>
      </c>
      <c r="Q2715" s="97">
        <v>44044</v>
      </c>
      <c r="R2715" s="14">
        <v>260000</v>
      </c>
      <c r="S2715" s="14">
        <v>332800</v>
      </c>
    </row>
    <row r="2716" spans="2:20" ht="15" hidden="1" x14ac:dyDescent="0.25">
      <c r="B2716" s="89">
        <v>44111.083333333336</v>
      </c>
      <c r="C2716" s="92" t="s">
        <v>2564</v>
      </c>
      <c r="D2716" s="23"/>
      <c r="E2716" s="91">
        <v>5200000</v>
      </c>
      <c r="F2716" s="93"/>
      <c r="G2716" s="93">
        <f t="shared" si="512"/>
        <v>5200000</v>
      </c>
      <c r="H2716" s="94"/>
      <c r="I2716" s="94"/>
      <c r="J2716" s="91">
        <v>44505.55</v>
      </c>
      <c r="K2716" s="25">
        <f t="shared" si="513"/>
        <v>5155494.45</v>
      </c>
      <c r="L2716" s="95">
        <f t="shared" si="514"/>
        <v>15946667</v>
      </c>
      <c r="M2716" s="96"/>
      <c r="N2716" s="96"/>
      <c r="O2716" s="130"/>
      <c r="P2716" s="55">
        <v>45543062</v>
      </c>
      <c r="Q2716" s="97">
        <v>44075</v>
      </c>
      <c r="R2716" s="14">
        <v>260000</v>
      </c>
      <c r="S2716" s="14">
        <v>332800</v>
      </c>
      <c r="T2716" s="21"/>
    </row>
    <row r="2717" spans="2:20" ht="15" hidden="1" x14ac:dyDescent="0.25">
      <c r="B2717" s="89">
        <v>44141.125</v>
      </c>
      <c r="C2717" s="92" t="s">
        <v>2565</v>
      </c>
      <c r="D2717" s="23"/>
      <c r="E2717" s="91">
        <v>5200000</v>
      </c>
      <c r="F2717" s="93"/>
      <c r="G2717" s="93">
        <f t="shared" si="512"/>
        <v>5200000</v>
      </c>
      <c r="H2717" s="94"/>
      <c r="I2717" s="94"/>
      <c r="J2717" s="91">
        <v>44505.55</v>
      </c>
      <c r="K2717" s="25">
        <f t="shared" si="513"/>
        <v>5155494.45</v>
      </c>
      <c r="L2717" s="95">
        <f t="shared" si="514"/>
        <v>10746667</v>
      </c>
      <c r="M2717" s="96"/>
      <c r="N2717" s="96"/>
      <c r="O2717" s="130"/>
      <c r="P2717" s="55">
        <v>46100232</v>
      </c>
      <c r="Q2717" s="97">
        <v>44105</v>
      </c>
      <c r="R2717" s="14">
        <v>260000</v>
      </c>
      <c r="S2717" s="14">
        <v>332800</v>
      </c>
      <c r="T2717" s="21"/>
    </row>
    <row r="2718" spans="2:20" ht="15" hidden="1" x14ac:dyDescent="0.25">
      <c r="B2718" s="89">
        <v>44176.125</v>
      </c>
      <c r="C2718" s="92" t="s">
        <v>2566</v>
      </c>
      <c r="D2718" s="23"/>
      <c r="E2718" s="91">
        <v>5200000</v>
      </c>
      <c r="F2718" s="93"/>
      <c r="G2718" s="93">
        <f>+E2718</f>
        <v>5200000</v>
      </c>
      <c r="H2718" s="94"/>
      <c r="I2718" s="94"/>
      <c r="J2718" s="91">
        <v>44505.55</v>
      </c>
      <c r="K2718" s="25">
        <f>+G2718-H2718-I2718-J2718</f>
        <v>5155494.45</v>
      </c>
      <c r="L2718" s="95">
        <f>+L2717-G2718</f>
        <v>5546667</v>
      </c>
      <c r="M2718" s="96"/>
      <c r="N2718" s="96"/>
      <c r="O2718" s="130"/>
      <c r="P2718" s="55">
        <v>46828357</v>
      </c>
      <c r="Q2718" s="97">
        <v>44136</v>
      </c>
      <c r="R2718" s="14">
        <v>260000</v>
      </c>
      <c r="S2718" s="14">
        <v>332800</v>
      </c>
      <c r="T2718" s="21"/>
    </row>
    <row r="2719" spans="2:20" ht="15" hidden="1" x14ac:dyDescent="0.25">
      <c r="B2719" s="89">
        <v>44193.125</v>
      </c>
      <c r="C2719" s="92" t="s">
        <v>2567</v>
      </c>
      <c r="D2719" s="23"/>
      <c r="E2719" s="91">
        <v>5200000</v>
      </c>
      <c r="F2719" s="93"/>
      <c r="G2719" s="93">
        <f>+E2719</f>
        <v>5200000</v>
      </c>
      <c r="H2719" s="94"/>
      <c r="I2719" s="94"/>
      <c r="J2719" s="91">
        <v>44505.55</v>
      </c>
      <c r="K2719" s="25">
        <f>+G2719-H2719-I2719-J2719</f>
        <v>5155494.45</v>
      </c>
      <c r="L2719" s="95">
        <f>+L2718-G2719</f>
        <v>346667</v>
      </c>
      <c r="M2719" s="96"/>
      <c r="N2719" s="96"/>
      <c r="O2719" s="130"/>
      <c r="P2719" s="55">
        <v>828448604</v>
      </c>
      <c r="Q2719" s="97">
        <v>44166</v>
      </c>
      <c r="R2719" s="14">
        <v>260000</v>
      </c>
      <c r="S2719" s="14">
        <v>332800</v>
      </c>
      <c r="T2719" s="21"/>
    </row>
    <row r="2720" spans="2:20" ht="15" hidden="1" x14ac:dyDescent="0.25">
      <c r="B2720" s="89"/>
      <c r="C2720" s="92" t="s">
        <v>2047</v>
      </c>
      <c r="D2720" s="23"/>
      <c r="E2720" s="91">
        <v>346667</v>
      </c>
      <c r="F2720" s="93"/>
      <c r="G2720" s="93">
        <f>+E2720</f>
        <v>346667</v>
      </c>
      <c r="H2720" s="94"/>
      <c r="I2720" s="94"/>
      <c r="J2720" s="91"/>
      <c r="K2720" s="25">
        <f>+G2720-H2720-I2720-J2720</f>
        <v>346667</v>
      </c>
      <c r="L2720" s="95">
        <f>+L2719-G2720</f>
        <v>0</v>
      </c>
      <c r="M2720" s="96"/>
      <c r="N2720" s="96"/>
      <c r="O2720" s="130"/>
      <c r="P2720" s="55"/>
      <c r="Q2720" s="97"/>
      <c r="R2720" s="14"/>
      <c r="S2720" s="14"/>
      <c r="T2720" s="21"/>
    </row>
    <row r="2721" spans="2:20" ht="15.6" hidden="1" customHeight="1" x14ac:dyDescent="0.25">
      <c r="B2721" s="9" t="s">
        <v>2568</v>
      </c>
      <c r="C2721" s="10"/>
      <c r="D2721" s="11">
        <v>51100000</v>
      </c>
      <c r="E2721" s="11">
        <f>+D2721</f>
        <v>51100000</v>
      </c>
      <c r="F2721" s="11"/>
      <c r="G2721" s="11"/>
      <c r="H2721" s="11"/>
      <c r="I2721" s="11"/>
      <c r="J2721" s="11"/>
      <c r="K2721" s="11"/>
      <c r="L2721" s="11">
        <f>+D2721</f>
        <v>51100000</v>
      </c>
      <c r="M2721" s="12"/>
      <c r="N2721" s="12"/>
      <c r="P2721" s="55"/>
      <c r="Q2721" s="55"/>
      <c r="R2721" s="14"/>
      <c r="S2721" s="14"/>
      <c r="T2721" s="21"/>
    </row>
    <row r="2722" spans="2:20" ht="15" hidden="1" customHeight="1" x14ac:dyDescent="0.25">
      <c r="B2722" s="89">
        <v>44006.083333333336</v>
      </c>
      <c r="C2722" s="92" t="s">
        <v>2569</v>
      </c>
      <c r="D2722" s="23"/>
      <c r="E2722" s="91">
        <v>1400000</v>
      </c>
      <c r="F2722" s="93"/>
      <c r="G2722" s="93">
        <f t="shared" ref="G2722:G2727" si="515">+E2722</f>
        <v>1400000</v>
      </c>
      <c r="H2722" s="94"/>
      <c r="I2722" s="94"/>
      <c r="J2722" s="94">
        <v>11982.26</v>
      </c>
      <c r="K2722" s="25">
        <f t="shared" ref="K2722:K2727" si="516">+G2722-H2722-I2722-J2722</f>
        <v>1388017.74</v>
      </c>
      <c r="L2722" s="95">
        <f t="shared" ref="L2722:L2727" si="517">+L2721-G2722</f>
        <v>49700000</v>
      </c>
      <c r="M2722" s="96"/>
      <c r="N2722" s="96"/>
      <c r="O2722" s="130">
        <f>+L2730-'[1]ANEXO 7 - PPTO VIG 2020'!T53</f>
        <v>0</v>
      </c>
      <c r="P2722" s="55">
        <v>43107103</v>
      </c>
      <c r="Q2722" s="97">
        <v>43952</v>
      </c>
      <c r="R2722" s="14">
        <v>483600</v>
      </c>
      <c r="S2722" s="14">
        <v>657800</v>
      </c>
      <c r="T2722" s="21"/>
    </row>
    <row r="2723" spans="2:20" ht="15" hidden="1" customHeight="1" x14ac:dyDescent="0.25">
      <c r="B2723" s="89">
        <v>44027.083333333336</v>
      </c>
      <c r="C2723" s="92" t="s">
        <v>2570</v>
      </c>
      <c r="D2723" s="23"/>
      <c r="E2723" s="91">
        <v>7000000</v>
      </c>
      <c r="F2723" s="93"/>
      <c r="G2723" s="93">
        <f t="shared" si="515"/>
        <v>7000000</v>
      </c>
      <c r="H2723" s="94"/>
      <c r="I2723" s="94">
        <v>134460.15</v>
      </c>
      <c r="J2723" s="94">
        <v>59911.32</v>
      </c>
      <c r="K2723" s="25">
        <f t="shared" si="516"/>
        <v>6805628.5299999993</v>
      </c>
      <c r="L2723" s="95">
        <f t="shared" si="517"/>
        <v>42700000</v>
      </c>
      <c r="M2723" s="96"/>
      <c r="N2723" s="96"/>
      <c r="O2723" s="130"/>
      <c r="P2723" s="55">
        <v>43099717</v>
      </c>
      <c r="Q2723" s="97">
        <v>43983</v>
      </c>
      <c r="R2723" s="14">
        <v>483600</v>
      </c>
      <c r="S2723" s="14">
        <v>657800</v>
      </c>
      <c r="T2723" s="21"/>
    </row>
    <row r="2724" spans="2:20" ht="15" hidden="1" customHeight="1" x14ac:dyDescent="0.25">
      <c r="B2724" s="89">
        <v>44055.083333333336</v>
      </c>
      <c r="C2724" s="92" t="s">
        <v>2571</v>
      </c>
      <c r="D2724" s="23"/>
      <c r="E2724" s="91">
        <v>7000000</v>
      </c>
      <c r="F2724" s="93"/>
      <c r="G2724" s="93">
        <f t="shared" si="515"/>
        <v>7000000</v>
      </c>
      <c r="H2724" s="94"/>
      <c r="I2724" s="94">
        <v>132921.14000000001</v>
      </c>
      <c r="J2724" s="94">
        <v>59911.32</v>
      </c>
      <c r="K2724" s="25">
        <f t="shared" si="516"/>
        <v>6807167.54</v>
      </c>
      <c r="L2724" s="95">
        <f t="shared" si="517"/>
        <v>35700000</v>
      </c>
      <c r="M2724" s="96"/>
      <c r="N2724" s="96"/>
      <c r="O2724" s="130"/>
      <c r="P2724" s="55">
        <v>44354698</v>
      </c>
      <c r="Q2724" s="97">
        <v>44013</v>
      </c>
      <c r="R2724" s="14">
        <v>483600</v>
      </c>
      <c r="S2724" s="14">
        <v>657800</v>
      </c>
      <c r="T2724" s="21"/>
    </row>
    <row r="2725" spans="2:20" ht="15" hidden="1" customHeight="1" x14ac:dyDescent="0.25">
      <c r="B2725" s="89">
        <v>44076.083333333336</v>
      </c>
      <c r="C2725" s="92" t="s">
        <v>2572</v>
      </c>
      <c r="D2725" s="23"/>
      <c r="E2725" s="91">
        <v>7000000</v>
      </c>
      <c r="F2725" s="93"/>
      <c r="G2725" s="93">
        <f t="shared" si="515"/>
        <v>7000000</v>
      </c>
      <c r="H2725" s="94"/>
      <c r="I2725" s="94">
        <v>134460.15</v>
      </c>
      <c r="J2725" s="94">
        <v>59911.32</v>
      </c>
      <c r="K2725" s="25">
        <f t="shared" si="516"/>
        <v>6805628.5299999993</v>
      </c>
      <c r="L2725" s="95">
        <f t="shared" si="517"/>
        <v>28700000</v>
      </c>
      <c r="M2725" s="96"/>
      <c r="N2725" s="96"/>
      <c r="O2725" s="130"/>
      <c r="P2725" s="55">
        <v>44907453</v>
      </c>
      <c r="Q2725" s="97">
        <v>44044</v>
      </c>
      <c r="R2725" s="14">
        <v>483600</v>
      </c>
      <c r="S2725" s="14">
        <v>657800</v>
      </c>
      <c r="T2725" s="21"/>
    </row>
    <row r="2726" spans="2:20" ht="15" hidden="1" customHeight="1" x14ac:dyDescent="0.25">
      <c r="B2726" s="89">
        <v>44112.083333333336</v>
      </c>
      <c r="C2726" s="92" t="s">
        <v>2573</v>
      </c>
      <c r="D2726" s="23"/>
      <c r="E2726" s="91">
        <v>7000000</v>
      </c>
      <c r="F2726" s="93"/>
      <c r="G2726" s="93">
        <f t="shared" si="515"/>
        <v>7000000</v>
      </c>
      <c r="H2726" s="94"/>
      <c r="I2726" s="94">
        <v>134460.15</v>
      </c>
      <c r="J2726" s="94">
        <v>59911.32</v>
      </c>
      <c r="K2726" s="25">
        <f t="shared" si="516"/>
        <v>6805628.5299999993</v>
      </c>
      <c r="L2726" s="95">
        <f t="shared" si="517"/>
        <v>21700000</v>
      </c>
      <c r="M2726" s="96"/>
      <c r="N2726" s="96"/>
      <c r="O2726" s="130"/>
      <c r="P2726" s="55">
        <v>45567179</v>
      </c>
      <c r="Q2726" s="97">
        <v>44075</v>
      </c>
      <c r="R2726" s="14">
        <v>483600</v>
      </c>
      <c r="S2726" s="14">
        <v>657800</v>
      </c>
      <c r="T2726" s="21"/>
    </row>
    <row r="2727" spans="2:20" ht="15" hidden="1" customHeight="1" x14ac:dyDescent="0.25">
      <c r="B2727" s="89">
        <v>44141.125</v>
      </c>
      <c r="C2727" s="92" t="s">
        <v>2574</v>
      </c>
      <c r="D2727" s="23"/>
      <c r="E2727" s="91">
        <v>7000000</v>
      </c>
      <c r="F2727" s="93"/>
      <c r="G2727" s="93">
        <f t="shared" si="515"/>
        <v>7000000</v>
      </c>
      <c r="H2727" s="94"/>
      <c r="I2727" s="94">
        <v>134460.15</v>
      </c>
      <c r="J2727" s="94">
        <v>59911.32</v>
      </c>
      <c r="K2727" s="25">
        <f t="shared" si="516"/>
        <v>6805628.5299999993</v>
      </c>
      <c r="L2727" s="95">
        <f t="shared" si="517"/>
        <v>14700000</v>
      </c>
      <c r="M2727" s="96"/>
      <c r="N2727" s="96"/>
      <c r="O2727" s="130"/>
      <c r="P2727" s="55">
        <v>46215260</v>
      </c>
      <c r="Q2727" s="97">
        <v>44105</v>
      </c>
      <c r="R2727" s="14">
        <v>483600</v>
      </c>
      <c r="S2727" s="14">
        <v>657800</v>
      </c>
      <c r="T2727" s="21"/>
    </row>
    <row r="2728" spans="2:20" ht="15" hidden="1" customHeight="1" x14ac:dyDescent="0.25">
      <c r="B2728" s="89">
        <v>44174.125</v>
      </c>
      <c r="C2728" s="92" t="s">
        <v>2575</v>
      </c>
      <c r="D2728" s="23"/>
      <c r="E2728" s="91">
        <v>7000000</v>
      </c>
      <c r="F2728" s="93"/>
      <c r="G2728" s="93">
        <f>+E2728</f>
        <v>7000000</v>
      </c>
      <c r="H2728" s="94"/>
      <c r="I2728" s="94">
        <v>134460.15</v>
      </c>
      <c r="J2728" s="94">
        <v>59911.32</v>
      </c>
      <c r="K2728" s="25">
        <f>+G2728-H2728-I2728-J2728</f>
        <v>6805628.5299999993</v>
      </c>
      <c r="L2728" s="95">
        <f>+L2727-G2728</f>
        <v>7700000</v>
      </c>
      <c r="M2728" s="96"/>
      <c r="N2728" s="96"/>
      <c r="O2728" s="130"/>
      <c r="P2728" s="55">
        <v>46881245</v>
      </c>
      <c r="Q2728" s="97">
        <v>44136</v>
      </c>
      <c r="R2728" s="14">
        <v>483600</v>
      </c>
      <c r="S2728" s="14">
        <v>657800</v>
      </c>
      <c r="T2728" s="21"/>
    </row>
    <row r="2729" spans="2:20" ht="15" hidden="1" customHeight="1" x14ac:dyDescent="0.25">
      <c r="B2729" s="89">
        <v>44193.125</v>
      </c>
      <c r="C2729" s="92" t="s">
        <v>2576</v>
      </c>
      <c r="D2729" s="23"/>
      <c r="E2729" s="91">
        <v>7000000</v>
      </c>
      <c r="F2729" s="93"/>
      <c r="G2729" s="93">
        <f>+E2729</f>
        <v>7000000</v>
      </c>
      <c r="H2729" s="94"/>
      <c r="I2729" s="94">
        <v>134460.15</v>
      </c>
      <c r="J2729" s="94">
        <v>59911.32</v>
      </c>
      <c r="K2729" s="25">
        <f>+G2729-H2729-I2729-J2729</f>
        <v>6805628.5299999993</v>
      </c>
      <c r="L2729" s="95">
        <f>+L2728-G2729</f>
        <v>700000</v>
      </c>
      <c r="M2729" s="96"/>
      <c r="N2729" s="96"/>
      <c r="O2729" s="130"/>
      <c r="P2729" s="55">
        <v>47343379</v>
      </c>
      <c r="Q2729" s="97">
        <v>44166</v>
      </c>
      <c r="R2729" s="14">
        <v>483600</v>
      </c>
      <c r="S2729" s="14">
        <v>657800</v>
      </c>
      <c r="T2729" s="21"/>
    </row>
    <row r="2730" spans="2:20" ht="15" hidden="1" customHeight="1" x14ac:dyDescent="0.25">
      <c r="B2730" s="89"/>
      <c r="C2730" s="92" t="s">
        <v>2047</v>
      </c>
      <c r="D2730" s="23"/>
      <c r="E2730" s="91">
        <v>700000</v>
      </c>
      <c r="F2730" s="93"/>
      <c r="G2730" s="93">
        <f>+E2730</f>
        <v>700000</v>
      </c>
      <c r="H2730" s="94"/>
      <c r="I2730" s="94"/>
      <c r="J2730" s="94"/>
      <c r="K2730" s="25">
        <f>+G2730-H2730-I2730-J2730</f>
        <v>700000</v>
      </c>
      <c r="L2730" s="95">
        <f>+L2729-G2730</f>
        <v>0</v>
      </c>
      <c r="M2730" s="96"/>
      <c r="N2730" s="96"/>
      <c r="O2730" s="130"/>
      <c r="P2730" s="55"/>
      <c r="Q2730" s="97"/>
      <c r="R2730" s="14"/>
      <c r="S2730" s="14"/>
      <c r="T2730" s="21"/>
    </row>
    <row r="2731" spans="2:20" ht="15.6" hidden="1" customHeight="1" x14ac:dyDescent="0.25">
      <c r="B2731" s="9" t="s">
        <v>2577</v>
      </c>
      <c r="C2731" s="10"/>
      <c r="D2731" s="11">
        <v>56666667</v>
      </c>
      <c r="E2731" s="11">
        <f>+D2731</f>
        <v>56666667</v>
      </c>
      <c r="F2731" s="11"/>
      <c r="G2731" s="11"/>
      <c r="H2731" s="11"/>
      <c r="I2731" s="11"/>
      <c r="J2731" s="11"/>
      <c r="K2731" s="11"/>
      <c r="L2731" s="11">
        <f>+D2731</f>
        <v>56666667</v>
      </c>
      <c r="M2731" s="12"/>
      <c r="N2731" s="12"/>
      <c r="P2731" s="55"/>
      <c r="Q2731" s="55"/>
      <c r="R2731" s="14"/>
      <c r="S2731" s="14"/>
      <c r="T2731" s="21"/>
    </row>
    <row r="2732" spans="2:20" ht="15" hidden="1" customHeight="1" x14ac:dyDescent="0.25">
      <c r="B2732" s="89">
        <v>44015.083333333336</v>
      </c>
      <c r="C2732" s="92" t="s">
        <v>2578</v>
      </c>
      <c r="D2732" s="23"/>
      <c r="E2732" s="91">
        <v>5383334</v>
      </c>
      <c r="F2732" s="93"/>
      <c r="G2732" s="93">
        <f t="shared" ref="G2732:G2739" si="518">+E2732</f>
        <v>5383334</v>
      </c>
      <c r="H2732" s="94"/>
      <c r="I2732" s="94"/>
      <c r="J2732" s="94">
        <v>46074.66</v>
      </c>
      <c r="K2732" s="25">
        <f t="shared" ref="K2732:K2737" si="519">+G2732-H2732-I2732-J2732</f>
        <v>5337259.34</v>
      </c>
      <c r="L2732" s="95">
        <f t="shared" ref="L2732:L2737" si="520">+L2731-G2732</f>
        <v>51283333</v>
      </c>
      <c r="M2732" s="96"/>
      <c r="N2732" s="96"/>
      <c r="O2732" s="130">
        <f>+L2739-'[1]ANEXO 7 - PPTO VIG 2020'!T87</f>
        <v>0</v>
      </c>
      <c r="P2732" s="55">
        <v>9407327971</v>
      </c>
      <c r="Q2732" s="97">
        <v>43983</v>
      </c>
      <c r="R2732" s="14">
        <v>437500</v>
      </c>
      <c r="S2732" s="14">
        <v>560000</v>
      </c>
      <c r="T2732" s="21"/>
    </row>
    <row r="2733" spans="2:20" ht="15" hidden="1" customHeight="1" x14ac:dyDescent="0.25">
      <c r="B2733" s="89">
        <v>44047.083333333336</v>
      </c>
      <c r="C2733" s="92" t="s">
        <v>2579</v>
      </c>
      <c r="D2733" s="23"/>
      <c r="E2733" s="91">
        <v>8500000</v>
      </c>
      <c r="F2733" s="93"/>
      <c r="G2733" s="93">
        <f t="shared" si="518"/>
        <v>8500000</v>
      </c>
      <c r="H2733" s="94"/>
      <c r="I2733" s="94">
        <v>215827.66</v>
      </c>
      <c r="J2733" s="94">
        <v>72749.460000000006</v>
      </c>
      <c r="K2733" s="25">
        <f t="shared" si="519"/>
        <v>8211422.8799999999</v>
      </c>
      <c r="L2733" s="95">
        <f t="shared" si="520"/>
        <v>42783333</v>
      </c>
      <c r="M2733" s="96"/>
      <c r="N2733" s="96"/>
      <c r="O2733" s="130"/>
      <c r="P2733" s="55">
        <v>9408366947</v>
      </c>
      <c r="Q2733" s="97">
        <v>44013</v>
      </c>
      <c r="R2733" s="14">
        <v>437500</v>
      </c>
      <c r="S2733" s="14">
        <v>560000</v>
      </c>
      <c r="T2733" s="21"/>
    </row>
    <row r="2734" spans="2:20" ht="15" hidden="1" customHeight="1" x14ac:dyDescent="0.25">
      <c r="B2734" s="89">
        <v>44076.083333333336</v>
      </c>
      <c r="C2734" s="92" t="s">
        <v>2579</v>
      </c>
      <c r="D2734" s="23"/>
      <c r="E2734" s="91">
        <v>8500000</v>
      </c>
      <c r="F2734" s="93"/>
      <c r="G2734" s="93">
        <f t="shared" si="518"/>
        <v>8500000</v>
      </c>
      <c r="H2734" s="94"/>
      <c r="I2734" s="94">
        <v>215827.66</v>
      </c>
      <c r="J2734" s="94">
        <v>72749.460000000006</v>
      </c>
      <c r="K2734" s="25">
        <f t="shared" si="519"/>
        <v>8211422.8799999999</v>
      </c>
      <c r="L2734" s="95">
        <f t="shared" si="520"/>
        <v>34283333</v>
      </c>
      <c r="M2734" s="96"/>
      <c r="N2734" s="96"/>
      <c r="O2734" s="130"/>
      <c r="P2734" s="55">
        <v>9409584603</v>
      </c>
      <c r="Q2734" s="97">
        <v>44044</v>
      </c>
      <c r="R2734" s="14">
        <v>437500</v>
      </c>
      <c r="S2734" s="14">
        <v>560000</v>
      </c>
      <c r="T2734" s="21"/>
    </row>
    <row r="2735" spans="2:20" ht="15" hidden="1" customHeight="1" x14ac:dyDescent="0.25">
      <c r="B2735" s="89">
        <v>44109.083333333336</v>
      </c>
      <c r="C2735" s="92" t="s">
        <v>2580</v>
      </c>
      <c r="D2735" s="23"/>
      <c r="E2735" s="91">
        <v>8500000</v>
      </c>
      <c r="F2735" s="93"/>
      <c r="G2735" s="93">
        <f t="shared" si="518"/>
        <v>8500000</v>
      </c>
      <c r="H2735" s="94"/>
      <c r="I2735" s="94">
        <v>215827.66</v>
      </c>
      <c r="J2735" s="94">
        <v>72749.460000000006</v>
      </c>
      <c r="K2735" s="25">
        <f t="shared" si="519"/>
        <v>8211422.8799999999</v>
      </c>
      <c r="L2735" s="95">
        <f t="shared" si="520"/>
        <v>25783333</v>
      </c>
      <c r="M2735" s="96"/>
      <c r="N2735" s="96"/>
      <c r="O2735" s="130"/>
      <c r="P2735" s="55">
        <v>9410678368</v>
      </c>
      <c r="Q2735" s="97">
        <v>44075</v>
      </c>
      <c r="R2735" s="14">
        <v>437500</v>
      </c>
      <c r="S2735" s="14">
        <v>560000</v>
      </c>
      <c r="T2735" s="21"/>
    </row>
    <row r="2736" spans="2:20" ht="15" hidden="1" customHeight="1" x14ac:dyDescent="0.25">
      <c r="B2736" s="89">
        <v>44141.125</v>
      </c>
      <c r="C2736" s="92" t="s">
        <v>2581</v>
      </c>
      <c r="D2736" s="23"/>
      <c r="E2736" s="91">
        <v>8500000</v>
      </c>
      <c r="F2736" s="93"/>
      <c r="G2736" s="93">
        <f t="shared" si="518"/>
        <v>8500000</v>
      </c>
      <c r="H2736" s="94"/>
      <c r="I2736" s="94">
        <v>215827.66</v>
      </c>
      <c r="J2736" s="94">
        <v>72749.460000000006</v>
      </c>
      <c r="K2736" s="25">
        <f t="shared" si="519"/>
        <v>8211422.8799999999</v>
      </c>
      <c r="L2736" s="95">
        <f t="shared" si="520"/>
        <v>17283333</v>
      </c>
      <c r="M2736" s="96"/>
      <c r="N2736" s="96"/>
      <c r="O2736" s="130"/>
      <c r="P2736" s="55">
        <v>9411725774</v>
      </c>
      <c r="Q2736" s="97">
        <v>44105</v>
      </c>
      <c r="R2736" s="14">
        <v>437500</v>
      </c>
      <c r="S2736" s="14">
        <v>560000</v>
      </c>
      <c r="T2736" s="21"/>
    </row>
    <row r="2737" spans="1:20" ht="15" hidden="1" customHeight="1" x14ac:dyDescent="0.25">
      <c r="B2737" s="89">
        <v>44168.125</v>
      </c>
      <c r="C2737" s="92" t="s">
        <v>2582</v>
      </c>
      <c r="D2737" s="23"/>
      <c r="E2737" s="91">
        <v>8500000</v>
      </c>
      <c r="F2737" s="93"/>
      <c r="G2737" s="93">
        <f t="shared" si="518"/>
        <v>8500000</v>
      </c>
      <c r="H2737" s="94"/>
      <c r="I2737" s="94">
        <v>215827.66</v>
      </c>
      <c r="J2737" s="94">
        <v>72749.460000000006</v>
      </c>
      <c r="K2737" s="25">
        <f t="shared" si="519"/>
        <v>8211422.8799999999</v>
      </c>
      <c r="L2737" s="95">
        <f t="shared" si="520"/>
        <v>8783333</v>
      </c>
      <c r="M2737" s="96"/>
      <c r="N2737" s="96"/>
      <c r="O2737" s="130"/>
      <c r="P2737" s="55">
        <v>9412896191</v>
      </c>
      <c r="Q2737" s="97">
        <v>44136</v>
      </c>
      <c r="R2737" s="14">
        <v>437500</v>
      </c>
      <c r="S2737" s="14">
        <v>560000</v>
      </c>
      <c r="T2737" s="21"/>
    </row>
    <row r="2738" spans="1:20" ht="15" hidden="1" customHeight="1" x14ac:dyDescent="0.25">
      <c r="B2738" s="89">
        <v>44188.125</v>
      </c>
      <c r="C2738" s="92" t="s">
        <v>2583</v>
      </c>
      <c r="D2738" s="23"/>
      <c r="E2738" s="91">
        <v>8500000</v>
      </c>
      <c r="F2738" s="93"/>
      <c r="G2738" s="93">
        <f t="shared" si="518"/>
        <v>8500000</v>
      </c>
      <c r="H2738" s="94"/>
      <c r="I2738" s="94">
        <v>215827.66</v>
      </c>
      <c r="J2738" s="94">
        <v>72749.460000000006</v>
      </c>
      <c r="K2738" s="25">
        <f>+G2738-H2738-I2738-J2738</f>
        <v>8211422.8799999999</v>
      </c>
      <c r="L2738" s="95">
        <f>+L2737-G2738</f>
        <v>283333</v>
      </c>
      <c r="M2738" s="96"/>
      <c r="N2738" s="96"/>
      <c r="O2738" s="130"/>
      <c r="P2738" s="55">
        <v>9413858948</v>
      </c>
      <c r="Q2738" s="97">
        <v>44166</v>
      </c>
      <c r="R2738" s="14">
        <v>437500</v>
      </c>
      <c r="S2738" s="14">
        <v>560000</v>
      </c>
      <c r="T2738" s="21"/>
    </row>
    <row r="2739" spans="1:20" ht="15" hidden="1" customHeight="1" x14ac:dyDescent="0.25">
      <c r="B2739" s="89"/>
      <c r="C2739" s="92" t="s">
        <v>2047</v>
      </c>
      <c r="D2739" s="23"/>
      <c r="E2739" s="91">
        <v>283333</v>
      </c>
      <c r="F2739" s="93"/>
      <c r="G2739" s="93">
        <f t="shared" si="518"/>
        <v>283333</v>
      </c>
      <c r="H2739" s="94"/>
      <c r="I2739" s="94"/>
      <c r="J2739" s="94"/>
      <c r="K2739" s="25">
        <f>+G2739-H2739-I2739-J2739</f>
        <v>283333</v>
      </c>
      <c r="L2739" s="95">
        <f>+L2738-G2739</f>
        <v>0</v>
      </c>
      <c r="M2739" s="96"/>
      <c r="N2739" s="96"/>
      <c r="O2739" s="130"/>
      <c r="P2739" s="55"/>
      <c r="Q2739" s="97"/>
      <c r="R2739" s="14"/>
      <c r="S2739" s="14"/>
      <c r="T2739" s="21"/>
    </row>
    <row r="2740" spans="1:20" ht="15.6" hidden="1" customHeight="1" x14ac:dyDescent="0.25">
      <c r="A2740" s="21" t="s">
        <v>2584</v>
      </c>
      <c r="B2740" s="9" t="s">
        <v>2585</v>
      </c>
      <c r="C2740" s="10"/>
      <c r="D2740" s="11">
        <v>1204020987.5</v>
      </c>
      <c r="E2740" s="11">
        <f>+D2740</f>
        <v>1204020987.5</v>
      </c>
      <c r="F2740" s="11"/>
      <c r="G2740" s="11"/>
      <c r="H2740" s="11"/>
      <c r="I2740" s="11"/>
      <c r="J2740" s="11"/>
      <c r="K2740" s="11"/>
      <c r="L2740" s="11">
        <f>+D2740</f>
        <v>1204020987.5</v>
      </c>
      <c r="M2740" s="12"/>
      <c r="N2740" s="12"/>
      <c r="P2740" s="55"/>
      <c r="Q2740" s="55"/>
      <c r="R2740" s="14"/>
      <c r="S2740" s="14"/>
      <c r="T2740" s="21"/>
    </row>
    <row r="2741" spans="1:20" ht="15" hidden="1" customHeight="1" x14ac:dyDescent="0.25">
      <c r="B2741" s="89">
        <v>44008.083333333336</v>
      </c>
      <c r="C2741" s="92" t="s">
        <v>2586</v>
      </c>
      <c r="D2741" s="23"/>
      <c r="E2741" s="132">
        <v>25685781.07</v>
      </c>
      <c r="F2741" s="93"/>
      <c r="G2741" s="93">
        <f t="shared" ref="G2741:G2753" si="521">+E2741</f>
        <v>25685781.07</v>
      </c>
      <c r="H2741" s="94">
        <v>615163.66</v>
      </c>
      <c r="I2741" s="94">
        <v>2374315.9</v>
      </c>
      <c r="J2741" s="94">
        <v>148934.35999999999</v>
      </c>
      <c r="K2741" s="25">
        <f t="shared" ref="K2741:K2761" si="522">+G2741-H2741-I2741-J2741</f>
        <v>22547367.150000002</v>
      </c>
      <c r="L2741" s="95">
        <f t="shared" ref="L2741:L2761" si="523">+L2740-G2741</f>
        <v>1178335206.4300001</v>
      </c>
      <c r="M2741" s="96"/>
      <c r="N2741" s="96"/>
      <c r="O2741" s="130">
        <f>+L2761-'[1]ANEXO 7 - PPTO VIG 2020'!T96</f>
        <v>215118416.43000007</v>
      </c>
      <c r="P2741" s="55"/>
      <c r="Q2741" s="97"/>
      <c r="R2741" s="14"/>
      <c r="S2741" s="14"/>
      <c r="T2741" s="21"/>
    </row>
    <row r="2742" spans="1:20" ht="15" hidden="1" customHeight="1" x14ac:dyDescent="0.25">
      <c r="B2742" s="89">
        <v>44012.083333333336</v>
      </c>
      <c r="C2742" s="92" t="s">
        <v>2587</v>
      </c>
      <c r="D2742" s="23"/>
      <c r="E2742" s="132">
        <v>48160839.5</v>
      </c>
      <c r="F2742" s="93"/>
      <c r="G2742" s="93">
        <f t="shared" si="521"/>
        <v>48160839.5</v>
      </c>
      <c r="H2742" s="94">
        <v>1153431.8700000001</v>
      </c>
      <c r="I2742" s="94">
        <v>4451842.3099999996</v>
      </c>
      <c r="J2742" s="94">
        <v>279251.93</v>
      </c>
      <c r="K2742" s="25">
        <f t="shared" si="522"/>
        <v>42276313.390000001</v>
      </c>
      <c r="L2742" s="95">
        <f t="shared" si="523"/>
        <v>1130174366.9300001</v>
      </c>
      <c r="M2742" s="96"/>
      <c r="N2742" s="96"/>
      <c r="O2742" s="130"/>
      <c r="P2742" s="55"/>
      <c r="Q2742" s="97"/>
      <c r="R2742" s="14"/>
      <c r="S2742" s="14"/>
      <c r="T2742" s="21"/>
    </row>
    <row r="2743" spans="1:20" ht="15" hidden="1" customHeight="1" x14ac:dyDescent="0.25">
      <c r="B2743" s="89">
        <v>44067.083333333336</v>
      </c>
      <c r="C2743" s="92" t="s">
        <v>2588</v>
      </c>
      <c r="D2743" s="23"/>
      <c r="E2743" s="132">
        <v>48160839.5</v>
      </c>
      <c r="F2743" s="93"/>
      <c r="G2743" s="93">
        <f t="shared" si="521"/>
        <v>48160839.5</v>
      </c>
      <c r="H2743" s="94">
        <v>1153431.8700000001</v>
      </c>
      <c r="I2743" s="94">
        <v>4451842.3099999996</v>
      </c>
      <c r="J2743" s="94">
        <v>279251.93</v>
      </c>
      <c r="K2743" s="25">
        <f t="shared" si="522"/>
        <v>42276313.390000001</v>
      </c>
      <c r="L2743" s="95">
        <f t="shared" si="523"/>
        <v>1082013527.4300001</v>
      </c>
      <c r="M2743" s="96"/>
      <c r="N2743" s="96"/>
      <c r="O2743" s="130"/>
      <c r="P2743" s="55"/>
      <c r="Q2743" s="97"/>
      <c r="R2743" s="14"/>
      <c r="S2743" s="14"/>
      <c r="T2743" s="21"/>
    </row>
    <row r="2744" spans="1:20" ht="15" hidden="1" customHeight="1" x14ac:dyDescent="0.25">
      <c r="B2744" s="89">
        <v>44067.083333333336</v>
      </c>
      <c r="C2744" s="92" t="s">
        <v>2589</v>
      </c>
      <c r="D2744" s="23"/>
      <c r="E2744" s="132">
        <v>48160839.5</v>
      </c>
      <c r="F2744" s="93"/>
      <c r="G2744" s="93">
        <f t="shared" si="521"/>
        <v>48160839.5</v>
      </c>
      <c r="H2744" s="94">
        <v>1153431.8700000001</v>
      </c>
      <c r="I2744" s="94">
        <v>4451842.3099999996</v>
      </c>
      <c r="J2744" s="94">
        <v>279251.93</v>
      </c>
      <c r="K2744" s="25">
        <f t="shared" si="522"/>
        <v>42276313.390000001</v>
      </c>
      <c r="L2744" s="95">
        <f t="shared" si="523"/>
        <v>1033852687.9300001</v>
      </c>
      <c r="M2744" s="96"/>
      <c r="N2744" s="96"/>
      <c r="O2744" s="130"/>
      <c r="P2744" s="55"/>
      <c r="Q2744" s="97"/>
      <c r="R2744" s="14"/>
      <c r="S2744" s="14"/>
      <c r="T2744" s="21"/>
    </row>
    <row r="2745" spans="1:20" ht="15" hidden="1" customHeight="1" x14ac:dyDescent="0.25">
      <c r="B2745" s="89">
        <v>44088.083333333336</v>
      </c>
      <c r="C2745" s="92" t="s">
        <v>2590</v>
      </c>
      <c r="D2745" s="23"/>
      <c r="E2745" s="132">
        <v>48160839.5</v>
      </c>
      <c r="F2745" s="93"/>
      <c r="G2745" s="93">
        <f t="shared" si="521"/>
        <v>48160839.5</v>
      </c>
      <c r="H2745" s="94">
        <v>1153431.8700000001</v>
      </c>
      <c r="I2745" s="94">
        <v>4451842.3099999996</v>
      </c>
      <c r="J2745" s="94">
        <v>279251.93</v>
      </c>
      <c r="K2745" s="25">
        <f t="shared" si="522"/>
        <v>42276313.390000001</v>
      </c>
      <c r="L2745" s="95">
        <f t="shared" si="523"/>
        <v>985691848.43000007</v>
      </c>
      <c r="M2745" s="96"/>
      <c r="N2745" s="96"/>
      <c r="O2745" s="130"/>
      <c r="P2745" s="55"/>
      <c r="Q2745" s="97"/>
      <c r="R2745" s="14"/>
      <c r="S2745" s="14"/>
      <c r="T2745" s="21"/>
    </row>
    <row r="2746" spans="1:20" ht="15" hidden="1" customHeight="1" x14ac:dyDescent="0.25">
      <c r="B2746" s="89">
        <v>44194.125</v>
      </c>
      <c r="C2746" s="92" t="s">
        <v>2591</v>
      </c>
      <c r="D2746" s="23"/>
      <c r="E2746" s="132">
        <v>48160839.5</v>
      </c>
      <c r="F2746" s="93"/>
      <c r="G2746" s="93">
        <f t="shared" si="521"/>
        <v>48160839.5</v>
      </c>
      <c r="H2746" s="94">
        <v>1153431.8700000001</v>
      </c>
      <c r="I2746" s="94">
        <v>4451842.3099999996</v>
      </c>
      <c r="J2746" s="94">
        <v>279251.93</v>
      </c>
      <c r="K2746" s="25">
        <f t="shared" si="522"/>
        <v>42276313.390000001</v>
      </c>
      <c r="L2746" s="95">
        <f t="shared" si="523"/>
        <v>937531008.93000007</v>
      </c>
      <c r="M2746" s="96"/>
      <c r="N2746" s="96"/>
      <c r="O2746" s="130"/>
      <c r="P2746" s="55"/>
      <c r="Q2746" s="97"/>
      <c r="R2746" s="14"/>
      <c r="S2746" s="14"/>
    </row>
    <row r="2747" spans="1:20" ht="15" hidden="1" customHeight="1" x14ac:dyDescent="0.25">
      <c r="B2747" s="89">
        <v>44200.125</v>
      </c>
      <c r="C2747" s="92" t="s">
        <v>2592</v>
      </c>
      <c r="D2747" s="23"/>
      <c r="E2747" s="132">
        <v>48160839.5</v>
      </c>
      <c r="F2747" s="93"/>
      <c r="G2747" s="93">
        <f t="shared" si="521"/>
        <v>48160839.5</v>
      </c>
      <c r="H2747" s="94">
        <v>1153431.8700000001</v>
      </c>
      <c r="I2747" s="94">
        <v>4451842.3099999996</v>
      </c>
      <c r="J2747" s="94">
        <v>279251.93</v>
      </c>
      <c r="K2747" s="25">
        <f t="shared" si="522"/>
        <v>42276313.390000001</v>
      </c>
      <c r="L2747" s="95">
        <f t="shared" si="523"/>
        <v>889370169.43000007</v>
      </c>
      <c r="M2747" s="96"/>
      <c r="N2747" s="96"/>
      <c r="O2747" s="130"/>
      <c r="P2747" s="55"/>
      <c r="Q2747" s="97"/>
      <c r="R2747" s="14"/>
      <c r="S2747" s="14"/>
    </row>
    <row r="2748" spans="1:20" ht="15" hidden="1" customHeight="1" x14ac:dyDescent="0.25">
      <c r="B2748" s="89">
        <v>44279.083333333336</v>
      </c>
      <c r="C2748" s="92" t="s">
        <v>2593</v>
      </c>
      <c r="D2748" s="23"/>
      <c r="E2748" s="132">
        <v>48160839.5</v>
      </c>
      <c r="F2748" s="93"/>
      <c r="G2748" s="93">
        <f t="shared" si="521"/>
        <v>48160839.5</v>
      </c>
      <c r="H2748" s="94">
        <v>1153431.8700000001</v>
      </c>
      <c r="I2748" s="94">
        <v>4451842.3099999996</v>
      </c>
      <c r="J2748" s="94">
        <v>279251.93</v>
      </c>
      <c r="K2748" s="25">
        <f t="shared" si="522"/>
        <v>42276313.390000001</v>
      </c>
      <c r="L2748" s="95">
        <f t="shared" si="523"/>
        <v>841209329.93000007</v>
      </c>
      <c r="M2748" s="96"/>
      <c r="N2748" s="96"/>
      <c r="O2748" s="130"/>
      <c r="P2748" s="55"/>
      <c r="Q2748" s="97"/>
      <c r="R2748" s="14"/>
      <c r="S2748" s="14"/>
    </row>
    <row r="2749" spans="1:20" ht="15" hidden="1" customHeight="1" x14ac:dyDescent="0.25">
      <c r="B2749" s="89">
        <v>44278.083333333336</v>
      </c>
      <c r="C2749" s="92" t="s">
        <v>2594</v>
      </c>
      <c r="D2749" s="23"/>
      <c r="E2749" s="132">
        <v>48160839.5</v>
      </c>
      <c r="F2749" s="93"/>
      <c r="G2749" s="93">
        <f t="shared" si="521"/>
        <v>48160839.5</v>
      </c>
      <c r="H2749" s="94">
        <v>1153431.8700000001</v>
      </c>
      <c r="I2749" s="94">
        <v>4451842.3099999996</v>
      </c>
      <c r="J2749" s="94">
        <v>279251.93</v>
      </c>
      <c r="K2749" s="25">
        <f t="shared" si="522"/>
        <v>42276313.390000001</v>
      </c>
      <c r="L2749" s="95">
        <f t="shared" si="523"/>
        <v>793048490.43000007</v>
      </c>
      <c r="M2749" s="96"/>
      <c r="N2749" s="96"/>
      <c r="O2749" s="130"/>
      <c r="P2749" s="55"/>
      <c r="Q2749" s="97"/>
      <c r="R2749" s="14"/>
      <c r="S2749" s="14"/>
    </row>
    <row r="2750" spans="1:20" ht="15" hidden="1" customHeight="1" x14ac:dyDescent="0.25">
      <c r="B2750" s="89">
        <v>44305.083333333336</v>
      </c>
      <c r="C2750" s="92" t="s">
        <v>2595</v>
      </c>
      <c r="D2750" s="23"/>
      <c r="E2750" s="132">
        <v>48160839.5</v>
      </c>
      <c r="F2750" s="93"/>
      <c r="G2750" s="93">
        <f t="shared" si="521"/>
        <v>48160839.5</v>
      </c>
      <c r="H2750" s="91">
        <v>1153431.8700000001</v>
      </c>
      <c r="I2750" s="91">
        <v>4451842.3099999996</v>
      </c>
      <c r="J2750" s="91">
        <v>279251.93</v>
      </c>
      <c r="K2750" s="25">
        <f t="shared" si="522"/>
        <v>42276313.390000001</v>
      </c>
      <c r="L2750" s="95">
        <f t="shared" si="523"/>
        <v>744887650.93000007</v>
      </c>
      <c r="M2750" s="96"/>
      <c r="N2750" s="96"/>
      <c r="O2750" s="130"/>
      <c r="P2750" s="55"/>
      <c r="Q2750" s="97"/>
      <c r="R2750" s="14"/>
      <c r="S2750" s="14"/>
    </row>
    <row r="2751" spans="1:20" ht="15" hidden="1" customHeight="1" x14ac:dyDescent="0.25">
      <c r="B2751" s="133">
        <v>44313.083333333336</v>
      </c>
      <c r="C2751" s="134" t="s">
        <v>2596</v>
      </c>
      <c r="D2751" s="23"/>
      <c r="E2751" s="91">
        <v>48160839.5</v>
      </c>
      <c r="F2751" s="93"/>
      <c r="G2751" s="93">
        <f t="shared" si="521"/>
        <v>48160839.5</v>
      </c>
      <c r="H2751" s="91">
        <v>1153431.8700000001</v>
      </c>
      <c r="I2751" s="91">
        <v>4451842.3099999996</v>
      </c>
      <c r="J2751" s="91">
        <v>279251.93</v>
      </c>
      <c r="K2751" s="25">
        <f t="shared" si="522"/>
        <v>42276313.390000001</v>
      </c>
      <c r="L2751" s="95">
        <f t="shared" si="523"/>
        <v>696726811.43000007</v>
      </c>
      <c r="M2751" s="96"/>
      <c r="N2751" s="96"/>
      <c r="O2751" s="130"/>
      <c r="P2751" s="55"/>
      <c r="Q2751" s="97"/>
      <c r="R2751" s="14"/>
      <c r="S2751" s="14"/>
    </row>
    <row r="2752" spans="1:20" ht="15" hidden="1" customHeight="1" x14ac:dyDescent="0.25">
      <c r="B2752" s="133">
        <v>44322.083333333336</v>
      </c>
      <c r="C2752" s="134" t="s">
        <v>2597</v>
      </c>
      <c r="D2752" s="23"/>
      <c r="E2752" s="91">
        <v>48160839.5</v>
      </c>
      <c r="F2752" s="93"/>
      <c r="G2752" s="93">
        <f t="shared" si="521"/>
        <v>48160839.5</v>
      </c>
      <c r="H2752" s="91">
        <v>1153431.8700000001</v>
      </c>
      <c r="I2752" s="91">
        <v>4451842.3099999996</v>
      </c>
      <c r="J2752" s="91">
        <v>279251.93</v>
      </c>
      <c r="K2752" s="25">
        <f t="shared" si="522"/>
        <v>42276313.390000001</v>
      </c>
      <c r="L2752" s="95">
        <f t="shared" si="523"/>
        <v>648565971.93000007</v>
      </c>
      <c r="M2752" s="20">
        <v>48160839.5</v>
      </c>
      <c r="N2752" s="20">
        <f>+G2752-M2752</f>
        <v>0</v>
      </c>
      <c r="O2752" s="130"/>
      <c r="P2752" s="55"/>
      <c r="Q2752" s="97"/>
      <c r="R2752" s="14"/>
      <c r="S2752" s="14"/>
    </row>
    <row r="2753" spans="1:24" ht="15" hidden="1" customHeight="1" x14ac:dyDescent="0.25">
      <c r="B2753" s="133">
        <v>44351.083333333336</v>
      </c>
      <c r="C2753" s="134" t="s">
        <v>2598</v>
      </c>
      <c r="D2753" s="23"/>
      <c r="E2753" s="91">
        <v>48160839.5</v>
      </c>
      <c r="F2753" s="93"/>
      <c r="G2753" s="93">
        <f t="shared" si="521"/>
        <v>48160839.5</v>
      </c>
      <c r="H2753" s="91">
        <v>1153431.8700000001</v>
      </c>
      <c r="I2753" s="91">
        <v>4451842.3099999996</v>
      </c>
      <c r="J2753" s="91">
        <v>279251.93</v>
      </c>
      <c r="K2753" s="25">
        <f t="shared" si="522"/>
        <v>42276313.390000001</v>
      </c>
      <c r="L2753" s="95">
        <f t="shared" si="523"/>
        <v>600405132.43000007</v>
      </c>
      <c r="M2753" s="20"/>
      <c r="N2753" s="20"/>
      <c r="O2753" s="130"/>
      <c r="P2753" s="55"/>
      <c r="Q2753" s="97"/>
      <c r="R2753" s="14"/>
      <c r="S2753" s="14"/>
    </row>
    <row r="2754" spans="1:24" ht="15" hidden="1" customHeight="1" x14ac:dyDescent="0.25">
      <c r="B2754" s="135">
        <v>44411.083333333336</v>
      </c>
      <c r="C2754" s="134" t="s">
        <v>2599</v>
      </c>
      <c r="D2754" s="23"/>
      <c r="E2754" s="91">
        <v>48160839.5</v>
      </c>
      <c r="F2754" s="93"/>
      <c r="G2754" s="93">
        <f>+E2754</f>
        <v>48160839.5</v>
      </c>
      <c r="H2754" s="91">
        <v>1153431.8700000001</v>
      </c>
      <c r="I2754" s="91">
        <v>4451842.3099999996</v>
      </c>
      <c r="J2754" s="91">
        <v>279251.93</v>
      </c>
      <c r="K2754" s="25">
        <f t="shared" si="522"/>
        <v>42276313.390000001</v>
      </c>
      <c r="L2754" s="95">
        <f t="shared" si="523"/>
        <v>552244292.93000007</v>
      </c>
      <c r="M2754" s="20"/>
      <c r="N2754" s="20"/>
      <c r="O2754" s="130"/>
      <c r="P2754" s="55"/>
      <c r="Q2754" s="97"/>
      <c r="R2754" s="14"/>
      <c r="S2754" s="14"/>
      <c r="W2754" s="31">
        <v>48160839.5</v>
      </c>
      <c r="X2754" s="131">
        <f>+E2754-W2754</f>
        <v>0</v>
      </c>
    </row>
    <row r="2755" spans="1:24" ht="15" hidden="1" customHeight="1" x14ac:dyDescent="0.25">
      <c r="B2755" s="135">
        <v>44427.083333333336</v>
      </c>
      <c r="C2755" s="134" t="s">
        <v>2600</v>
      </c>
      <c r="D2755" s="23"/>
      <c r="E2755" s="91">
        <v>48160839.5</v>
      </c>
      <c r="F2755" s="93"/>
      <c r="G2755" s="93">
        <f>+E2755</f>
        <v>48160839.5</v>
      </c>
      <c r="H2755" s="91">
        <v>1153431.8700000001</v>
      </c>
      <c r="I2755" s="91">
        <v>4451842.3099999996</v>
      </c>
      <c r="J2755" s="91">
        <v>279251.93</v>
      </c>
      <c r="K2755" s="25">
        <f t="shared" si="522"/>
        <v>42276313.390000001</v>
      </c>
      <c r="L2755" s="95">
        <f t="shared" si="523"/>
        <v>504083453.43000007</v>
      </c>
      <c r="M2755" s="20"/>
      <c r="N2755" s="20"/>
      <c r="O2755" s="130"/>
      <c r="P2755" s="55"/>
      <c r="Q2755" s="97"/>
      <c r="R2755" s="14"/>
      <c r="S2755" s="14"/>
      <c r="W2755" s="31">
        <v>48160839.5</v>
      </c>
      <c r="X2755" s="131">
        <f>+E2755-W2755</f>
        <v>0</v>
      </c>
    </row>
    <row r="2756" spans="1:24" ht="15" hidden="1" customHeight="1" x14ac:dyDescent="0.25">
      <c r="B2756" s="135">
        <v>44480.083333333336</v>
      </c>
      <c r="C2756" s="134" t="s">
        <v>2601</v>
      </c>
      <c r="D2756" s="23"/>
      <c r="E2756" s="91">
        <v>48160839.5</v>
      </c>
      <c r="F2756" s="93"/>
      <c r="G2756" s="93">
        <f>+E2756</f>
        <v>48160839.5</v>
      </c>
      <c r="H2756" s="91">
        <v>1153431.8700000001</v>
      </c>
      <c r="I2756" s="91">
        <v>4451842.3099999996</v>
      </c>
      <c r="J2756" s="91">
        <v>279251.93</v>
      </c>
      <c r="K2756" s="25">
        <f t="shared" si="522"/>
        <v>42276313.390000001</v>
      </c>
      <c r="L2756" s="95">
        <f t="shared" si="523"/>
        <v>455922613.93000007</v>
      </c>
      <c r="M2756" s="20"/>
      <c r="N2756" s="20"/>
      <c r="O2756" s="130"/>
      <c r="P2756" s="55"/>
      <c r="Q2756" s="97"/>
      <c r="R2756" s="14"/>
      <c r="S2756" s="14"/>
      <c r="W2756" s="31"/>
      <c r="X2756" s="131"/>
    </row>
    <row r="2757" spans="1:24" ht="15" hidden="1" customHeight="1" x14ac:dyDescent="0.25">
      <c r="B2757" s="135">
        <v>44481.083333333336</v>
      </c>
      <c r="C2757" s="286" t="s">
        <v>2602</v>
      </c>
      <c r="D2757" s="285"/>
      <c r="E2757" s="203">
        <v>48160839.5</v>
      </c>
      <c r="F2757" s="201"/>
      <c r="G2757" s="201">
        <f>+E2757</f>
        <v>48160839.5</v>
      </c>
      <c r="H2757" s="203">
        <v>1153431.8700000001</v>
      </c>
      <c r="I2757" s="203">
        <v>4451842.3099999996</v>
      </c>
      <c r="J2757" s="203">
        <v>279251.93</v>
      </c>
      <c r="K2757" s="204">
        <f t="shared" si="522"/>
        <v>42276313.390000001</v>
      </c>
      <c r="L2757" s="95">
        <f t="shared" si="523"/>
        <v>407761774.43000007</v>
      </c>
      <c r="M2757" s="20"/>
      <c r="N2757" s="20"/>
      <c r="O2757" s="130"/>
      <c r="P2757" s="55"/>
      <c r="Q2757" s="97"/>
      <c r="R2757" s="14"/>
      <c r="S2757" s="14"/>
      <c r="W2757" s="31"/>
      <c r="X2757" s="131"/>
    </row>
    <row r="2758" spans="1:24" ht="15" customHeight="1" x14ac:dyDescent="0.25">
      <c r="B2758" s="283">
        <v>44622.125</v>
      </c>
      <c r="C2758" s="134" t="s">
        <v>2603</v>
      </c>
      <c r="D2758" s="23"/>
      <c r="E2758" s="91">
        <v>48160839.5</v>
      </c>
      <c r="F2758" s="93"/>
      <c r="G2758" s="93">
        <f t="shared" ref="G2758:G2761" si="524">+E2758</f>
        <v>48160839.5</v>
      </c>
      <c r="H2758" s="91">
        <v>1153431.8700000001</v>
      </c>
      <c r="I2758" s="91">
        <v>4451842.3099999996</v>
      </c>
      <c r="J2758" s="91">
        <v>350481.4</v>
      </c>
      <c r="K2758" s="25">
        <f t="shared" si="522"/>
        <v>42205083.920000002</v>
      </c>
      <c r="L2758" s="95">
        <f t="shared" si="523"/>
        <v>359600934.93000007</v>
      </c>
      <c r="M2758" s="20"/>
      <c r="N2758" s="20"/>
      <c r="O2758" s="130"/>
      <c r="P2758" s="55"/>
      <c r="Q2758" s="97"/>
      <c r="R2758" s="14"/>
      <c r="S2758" s="14"/>
      <c r="W2758" s="31"/>
      <c r="X2758" s="131"/>
    </row>
    <row r="2759" spans="1:24" ht="15" customHeight="1" x14ac:dyDescent="0.25">
      <c r="B2759" s="283">
        <v>44622.125</v>
      </c>
      <c r="C2759" s="134" t="s">
        <v>2604</v>
      </c>
      <c r="D2759" s="23"/>
      <c r="E2759" s="91">
        <v>48160839.5</v>
      </c>
      <c r="F2759" s="93"/>
      <c r="G2759" s="93">
        <f t="shared" si="524"/>
        <v>48160839.5</v>
      </c>
      <c r="H2759" s="91">
        <v>1153431.8700000001</v>
      </c>
      <c r="I2759" s="91">
        <v>4451842.3099999996</v>
      </c>
      <c r="J2759" s="91">
        <v>350481.4</v>
      </c>
      <c r="K2759" s="25">
        <f t="shared" si="522"/>
        <v>42205083.920000002</v>
      </c>
      <c r="L2759" s="95">
        <f t="shared" si="523"/>
        <v>311440095.43000007</v>
      </c>
      <c r="M2759" s="20"/>
      <c r="N2759" s="20"/>
      <c r="O2759" s="130"/>
      <c r="P2759" s="55"/>
      <c r="Q2759" s="97"/>
      <c r="R2759" s="14"/>
      <c r="S2759" s="14"/>
      <c r="W2759" s="31"/>
      <c r="X2759" s="131"/>
    </row>
    <row r="2760" spans="1:24" ht="15" customHeight="1" x14ac:dyDescent="0.25">
      <c r="B2760" s="283">
        <v>44622.125</v>
      </c>
      <c r="C2760" s="134" t="s">
        <v>2605</v>
      </c>
      <c r="D2760" s="23"/>
      <c r="E2760" s="91">
        <v>48160839.5</v>
      </c>
      <c r="F2760" s="93"/>
      <c r="G2760" s="93">
        <f t="shared" si="524"/>
        <v>48160839.5</v>
      </c>
      <c r="H2760" s="91">
        <v>1153431.8700000001</v>
      </c>
      <c r="I2760" s="91">
        <v>4451842.3099999996</v>
      </c>
      <c r="J2760" s="91">
        <v>350481.4</v>
      </c>
      <c r="K2760" s="25">
        <f t="shared" si="522"/>
        <v>42205083.920000002</v>
      </c>
      <c r="L2760" s="95">
        <f t="shared" si="523"/>
        <v>263279255.93000007</v>
      </c>
      <c r="M2760" s="20"/>
      <c r="N2760" s="20"/>
      <c r="O2760" s="130"/>
      <c r="P2760" s="55"/>
      <c r="Q2760" s="97"/>
      <c r="R2760" s="14"/>
      <c r="S2760" s="14"/>
      <c r="W2760" s="31"/>
      <c r="X2760" s="131"/>
    </row>
    <row r="2761" spans="1:24" ht="15" customHeight="1" x14ac:dyDescent="0.25">
      <c r="B2761" s="283">
        <v>44622.125</v>
      </c>
      <c r="C2761" s="134" t="s">
        <v>2606</v>
      </c>
      <c r="D2761" s="23"/>
      <c r="E2761" s="91">
        <v>48160839.5</v>
      </c>
      <c r="F2761" s="93"/>
      <c r="G2761" s="93">
        <f t="shared" si="524"/>
        <v>48160839.5</v>
      </c>
      <c r="H2761" s="91">
        <v>1153431.8700000001</v>
      </c>
      <c r="I2761" s="91">
        <v>4451842.3099999996</v>
      </c>
      <c r="J2761" s="91">
        <v>350481.4</v>
      </c>
      <c r="K2761" s="25">
        <f t="shared" si="522"/>
        <v>42205083.920000002</v>
      </c>
      <c r="L2761" s="95">
        <f t="shared" si="523"/>
        <v>215118416.43000007</v>
      </c>
      <c r="M2761" s="20"/>
      <c r="N2761" s="20"/>
      <c r="O2761" s="130"/>
      <c r="P2761" s="55"/>
      <c r="Q2761" s="97"/>
      <c r="R2761" s="14"/>
      <c r="S2761" s="14"/>
      <c r="W2761" s="31"/>
      <c r="X2761" s="131"/>
    </row>
    <row r="2762" spans="1:24" ht="15.6" hidden="1" customHeight="1" x14ac:dyDescent="0.25">
      <c r="A2762" s="81"/>
      <c r="B2762" s="9" t="s">
        <v>2607</v>
      </c>
      <c r="C2762" s="47"/>
      <c r="D2762" s="48">
        <v>80184000</v>
      </c>
      <c r="E2762" s="48">
        <f>+D2762</f>
        <v>80184000</v>
      </c>
      <c r="F2762" s="48"/>
      <c r="G2762" s="48"/>
      <c r="H2762" s="48"/>
      <c r="I2762" s="48"/>
      <c r="J2762" s="48"/>
      <c r="K2762" s="48"/>
      <c r="L2762" s="11">
        <f>+D2762</f>
        <v>80184000</v>
      </c>
      <c r="M2762" s="12"/>
      <c r="N2762" s="12"/>
      <c r="P2762" s="55"/>
      <c r="Q2762" s="55"/>
      <c r="R2762" s="14"/>
      <c r="S2762" s="14"/>
      <c r="T2762" s="3">
        <v>34320000</v>
      </c>
    </row>
    <row r="2763" spans="1:24" ht="15" hidden="1" customHeight="1" x14ac:dyDescent="0.25">
      <c r="A2763" s="81"/>
      <c r="B2763" s="89">
        <v>43987.083333333336</v>
      </c>
      <c r="C2763" s="92" t="s">
        <v>2608</v>
      </c>
      <c r="D2763" s="23"/>
      <c r="E2763" s="91">
        <v>4368000</v>
      </c>
      <c r="F2763" s="93"/>
      <c r="G2763" s="93">
        <f t="shared" ref="G2763:G2768" si="525">+E2763</f>
        <v>4368000</v>
      </c>
      <c r="H2763" s="94"/>
      <c r="I2763" s="94"/>
      <c r="J2763" s="94">
        <v>39776.980000000003</v>
      </c>
      <c r="K2763" s="25">
        <f t="shared" ref="K2763:K2768" si="526">+G2763-H2763-I2763-J2763</f>
        <v>4328223.0199999996</v>
      </c>
      <c r="L2763" s="95">
        <f t="shared" ref="L2763:L2768" si="527">+L2762-G2763</f>
        <v>75816000</v>
      </c>
      <c r="M2763" s="96"/>
      <c r="N2763" s="96"/>
      <c r="O2763" s="130">
        <f>+L2768-'[1]ANEXO 7 - PPTO VIG 2020'!T17</f>
        <v>0</v>
      </c>
      <c r="P2763" s="55">
        <v>9403807273</v>
      </c>
      <c r="Q2763" s="97">
        <v>43891</v>
      </c>
      <c r="R2763" s="14">
        <v>109800</v>
      </c>
      <c r="S2763" s="14">
        <v>140500</v>
      </c>
      <c r="T2763" s="3">
        <f>+T2762*40%</f>
        <v>13728000</v>
      </c>
    </row>
    <row r="2764" spans="1:24" ht="14.45" hidden="1" customHeight="1" x14ac:dyDescent="0.25">
      <c r="A2764" s="81"/>
      <c r="B2764" s="89">
        <v>44027.083333333336</v>
      </c>
      <c r="C2764" s="92" t="s">
        <v>2609</v>
      </c>
      <c r="D2764" s="23"/>
      <c r="E2764" s="91">
        <v>9360000</v>
      </c>
      <c r="F2764" s="93"/>
      <c r="G2764" s="93">
        <f t="shared" si="525"/>
        <v>9360000</v>
      </c>
      <c r="H2764" s="94"/>
      <c r="I2764" s="94">
        <v>453087.47</v>
      </c>
      <c r="J2764" s="94">
        <v>87800.71</v>
      </c>
      <c r="K2764" s="25">
        <f t="shared" si="526"/>
        <v>8819111.8199999984</v>
      </c>
      <c r="L2764" s="95">
        <f t="shared" si="527"/>
        <v>66456000</v>
      </c>
      <c r="M2764" s="96"/>
      <c r="N2764" s="96"/>
      <c r="O2764" s="130"/>
      <c r="P2764" s="55">
        <v>9406193562</v>
      </c>
      <c r="Q2764" s="97">
        <v>43922</v>
      </c>
      <c r="R2764" s="14">
        <v>218400</v>
      </c>
      <c r="S2764" s="14">
        <v>52500</v>
      </c>
      <c r="T2764" s="3">
        <f>+T2763*12.5%</f>
        <v>1716000</v>
      </c>
    </row>
    <row r="2765" spans="1:24" ht="14.45" hidden="1" customHeight="1" x14ac:dyDescent="0.25">
      <c r="A2765" s="81"/>
      <c r="B2765" s="89">
        <v>44084.083333333336</v>
      </c>
      <c r="C2765" s="92" t="s">
        <v>2610</v>
      </c>
      <c r="D2765" s="23"/>
      <c r="E2765" s="91">
        <v>9360000</v>
      </c>
      <c r="F2765" s="93"/>
      <c r="G2765" s="93">
        <f t="shared" si="525"/>
        <v>9360000</v>
      </c>
      <c r="H2765" s="94"/>
      <c r="I2765" s="94">
        <v>321683.5</v>
      </c>
      <c r="J2765" s="94">
        <v>80109.990000000005</v>
      </c>
      <c r="K2765" s="25">
        <f t="shared" si="526"/>
        <v>8958206.5099999998</v>
      </c>
      <c r="L2765" s="95">
        <f t="shared" si="527"/>
        <v>57096000</v>
      </c>
      <c r="M2765" s="96"/>
      <c r="N2765" s="96"/>
      <c r="O2765" s="130"/>
      <c r="P2765" s="55">
        <v>9407904138</v>
      </c>
      <c r="Q2765" s="97">
        <v>43983</v>
      </c>
      <c r="R2765" s="14">
        <v>468000</v>
      </c>
      <c r="S2765" s="14">
        <v>636700</v>
      </c>
      <c r="T2765" s="3">
        <f>+T2763*16%</f>
        <v>2196480</v>
      </c>
    </row>
    <row r="2766" spans="1:24" ht="14.45" hidden="1" customHeight="1" x14ac:dyDescent="0.25">
      <c r="A2766" s="63"/>
      <c r="B2766" s="89">
        <v>44084.083333333336</v>
      </c>
      <c r="C2766" s="92" t="s">
        <v>2611</v>
      </c>
      <c r="D2766" s="23"/>
      <c r="E2766" s="91">
        <v>9360000</v>
      </c>
      <c r="F2766" s="93"/>
      <c r="G2766" s="93">
        <f t="shared" si="525"/>
        <v>9360000</v>
      </c>
      <c r="H2766" s="94"/>
      <c r="I2766" s="94">
        <v>321683.5</v>
      </c>
      <c r="J2766" s="94">
        <v>80109.990000000005</v>
      </c>
      <c r="K2766" s="25">
        <f t="shared" si="526"/>
        <v>8958206.5099999998</v>
      </c>
      <c r="L2766" s="95">
        <f t="shared" si="527"/>
        <v>47736000</v>
      </c>
      <c r="M2766" s="96"/>
      <c r="N2766" s="96"/>
      <c r="O2766" s="130"/>
      <c r="P2766" s="55">
        <v>9409559968</v>
      </c>
      <c r="Q2766" s="97">
        <v>44013</v>
      </c>
      <c r="R2766" s="14">
        <v>468000</v>
      </c>
      <c r="S2766" s="14">
        <v>636700</v>
      </c>
    </row>
    <row r="2767" spans="1:24" ht="14.45" hidden="1" customHeight="1" x14ac:dyDescent="0.25">
      <c r="A2767" s="136"/>
      <c r="B2767" s="89">
        <v>44217.125</v>
      </c>
      <c r="C2767" s="92" t="s">
        <v>2612</v>
      </c>
      <c r="D2767" s="23"/>
      <c r="E2767" s="91">
        <v>1872000</v>
      </c>
      <c r="F2767" s="93"/>
      <c r="G2767" s="93">
        <f t="shared" si="525"/>
        <v>1872000</v>
      </c>
      <c r="H2767" s="94"/>
      <c r="I2767" s="94"/>
      <c r="J2767" s="94">
        <v>16022</v>
      </c>
      <c r="K2767" s="25">
        <f t="shared" si="526"/>
        <v>1855978</v>
      </c>
      <c r="L2767" s="95">
        <f t="shared" si="527"/>
        <v>45864000</v>
      </c>
      <c r="M2767" s="96"/>
      <c r="N2767" s="96"/>
      <c r="O2767" s="130"/>
      <c r="P2767" s="55">
        <v>9409561150</v>
      </c>
      <c r="Q2767" s="97">
        <v>44044</v>
      </c>
      <c r="R2767" s="14">
        <v>181400</v>
      </c>
      <c r="S2767" s="14">
        <v>232200</v>
      </c>
    </row>
    <row r="2768" spans="1:24" ht="14.45" hidden="1" customHeight="1" x14ac:dyDescent="0.25">
      <c r="A2768" s="137"/>
      <c r="B2768" s="89"/>
      <c r="C2768" s="92" t="s">
        <v>2047</v>
      </c>
      <c r="D2768" s="23"/>
      <c r="E2768" s="91">
        <v>45864000</v>
      </c>
      <c r="F2768" s="93"/>
      <c r="G2768" s="93">
        <f t="shared" si="525"/>
        <v>45864000</v>
      </c>
      <c r="H2768" s="94"/>
      <c r="I2768" s="94"/>
      <c r="J2768" s="94"/>
      <c r="K2768" s="25">
        <f t="shared" si="526"/>
        <v>45864000</v>
      </c>
      <c r="L2768" s="95">
        <f t="shared" si="527"/>
        <v>0</v>
      </c>
      <c r="M2768" s="96"/>
      <c r="N2768" s="96"/>
      <c r="O2768" s="130"/>
      <c r="P2768" s="55"/>
      <c r="Q2768" s="97"/>
      <c r="R2768" s="14"/>
      <c r="S2768" s="14"/>
    </row>
    <row r="2769" spans="1:20" ht="15" hidden="1" customHeight="1" x14ac:dyDescent="0.25">
      <c r="A2769" s="137"/>
      <c r="B2769" s="9" t="s">
        <v>2613</v>
      </c>
      <c r="C2769" s="10"/>
      <c r="D2769" s="11">
        <v>58240000</v>
      </c>
      <c r="E2769" s="11">
        <f>+D2769</f>
        <v>58240000</v>
      </c>
      <c r="F2769" s="11"/>
      <c r="G2769" s="11"/>
      <c r="H2769" s="11"/>
      <c r="I2769" s="11"/>
      <c r="J2769" s="11"/>
      <c r="K2769" s="11"/>
      <c r="L2769" s="11">
        <f>+D2769</f>
        <v>58240000</v>
      </c>
      <c r="M2769" s="12"/>
      <c r="N2769" s="12"/>
      <c r="P2769" s="55"/>
      <c r="Q2769" s="55"/>
      <c r="R2769" s="14"/>
      <c r="S2769" s="14"/>
    </row>
    <row r="2770" spans="1:20" ht="17.25" hidden="1" customHeight="1" x14ac:dyDescent="0.25">
      <c r="B2770" s="89">
        <v>44035.083333333336</v>
      </c>
      <c r="C2770" s="92" t="s">
        <v>2614</v>
      </c>
      <c r="D2770" s="23"/>
      <c r="E2770" s="91">
        <v>7488000</v>
      </c>
      <c r="F2770" s="93"/>
      <c r="G2770" s="93">
        <f t="shared" ref="G2770:G2775" si="528">+E2770</f>
        <v>7488000</v>
      </c>
      <c r="H2770" s="94"/>
      <c r="I2770" s="94">
        <v>235635.16</v>
      </c>
      <c r="J2770" s="94">
        <v>66972.78</v>
      </c>
      <c r="K2770" s="25">
        <f t="shared" ref="K2770:K2777" si="529">+G2770-H2770-I2770-J2770</f>
        <v>7185392.0599999996</v>
      </c>
      <c r="L2770" s="95">
        <f t="shared" ref="L2770:L2777" si="530">+L2769-G2770</f>
        <v>50752000</v>
      </c>
      <c r="M2770" s="96"/>
      <c r="N2770" s="96"/>
      <c r="O2770" s="130">
        <f>+L2777-'[1]ANEXO 7 - PPTO VIG 2020'!T57</f>
        <v>0</v>
      </c>
      <c r="P2770" s="55">
        <v>44010275</v>
      </c>
      <c r="Q2770" s="97">
        <v>43983</v>
      </c>
      <c r="R2770" s="14">
        <v>243400</v>
      </c>
      <c r="S2770" s="14">
        <v>311600</v>
      </c>
      <c r="T2770" s="21"/>
    </row>
    <row r="2771" spans="1:20" ht="14.45" hidden="1" customHeight="1" x14ac:dyDescent="0.25">
      <c r="B2771" s="89">
        <v>44056.083333333336</v>
      </c>
      <c r="C2771" s="92" t="s">
        <v>2615</v>
      </c>
      <c r="D2771" s="23"/>
      <c r="E2771" s="91">
        <v>8320000</v>
      </c>
      <c r="F2771" s="93"/>
      <c r="G2771" s="93">
        <f t="shared" si="528"/>
        <v>8320000</v>
      </c>
      <c r="H2771" s="94"/>
      <c r="I2771" s="94">
        <v>284216.25</v>
      </c>
      <c r="J2771" s="94">
        <v>71208.88</v>
      </c>
      <c r="K2771" s="25">
        <f t="shared" si="529"/>
        <v>7964574.8700000001</v>
      </c>
      <c r="L2771" s="95">
        <f t="shared" si="530"/>
        <v>42432000</v>
      </c>
      <c r="M2771" s="96"/>
      <c r="N2771" s="96"/>
      <c r="O2771" s="130"/>
      <c r="P2771" s="55">
        <v>44425989</v>
      </c>
      <c r="Q2771" s="97">
        <v>44013</v>
      </c>
      <c r="R2771" s="14">
        <v>416000</v>
      </c>
      <c r="S2771" s="14">
        <v>532500</v>
      </c>
      <c r="T2771" s="21"/>
    </row>
    <row r="2772" spans="1:20" ht="14.45" hidden="1" customHeight="1" x14ac:dyDescent="0.25">
      <c r="B2772" s="89">
        <v>44077.083333333336</v>
      </c>
      <c r="C2772" s="92" t="s">
        <v>2616</v>
      </c>
      <c r="D2772" s="23"/>
      <c r="E2772" s="91">
        <v>8320000</v>
      </c>
      <c r="F2772" s="93"/>
      <c r="G2772" s="93">
        <f t="shared" si="528"/>
        <v>8320000</v>
      </c>
      <c r="H2772" s="94"/>
      <c r="I2772" s="94">
        <v>284216.25</v>
      </c>
      <c r="J2772" s="94">
        <v>71208.88</v>
      </c>
      <c r="K2772" s="25">
        <f t="shared" si="529"/>
        <v>7964574.8700000001</v>
      </c>
      <c r="L2772" s="95">
        <f t="shared" si="530"/>
        <v>34112000</v>
      </c>
      <c r="M2772" s="96"/>
      <c r="N2772" s="96"/>
      <c r="O2772" s="130"/>
      <c r="P2772" s="55">
        <v>45025929</v>
      </c>
      <c r="Q2772" s="97">
        <v>44044</v>
      </c>
      <c r="R2772" s="14">
        <v>416000</v>
      </c>
      <c r="S2772" s="14">
        <v>532500</v>
      </c>
      <c r="T2772" s="21"/>
    </row>
    <row r="2773" spans="1:20" ht="14.45" hidden="1" customHeight="1" x14ac:dyDescent="0.25">
      <c r="B2773" s="89">
        <v>44113.083333333336</v>
      </c>
      <c r="C2773" s="92" t="s">
        <v>2617</v>
      </c>
      <c r="D2773" s="23"/>
      <c r="E2773" s="91">
        <v>8320000</v>
      </c>
      <c r="F2773" s="93"/>
      <c r="G2773" s="93">
        <f t="shared" si="528"/>
        <v>8320000</v>
      </c>
      <c r="H2773" s="94"/>
      <c r="I2773" s="94">
        <v>284216.25</v>
      </c>
      <c r="J2773" s="94">
        <v>71208.88</v>
      </c>
      <c r="K2773" s="25">
        <f t="shared" si="529"/>
        <v>7964574.8700000001</v>
      </c>
      <c r="L2773" s="95">
        <f t="shared" si="530"/>
        <v>25792000</v>
      </c>
      <c r="M2773" s="96"/>
      <c r="N2773" s="96"/>
      <c r="O2773" s="130"/>
      <c r="P2773" s="55">
        <v>45701632</v>
      </c>
      <c r="Q2773" s="97">
        <v>44075</v>
      </c>
      <c r="R2773" s="14">
        <v>416000</v>
      </c>
      <c r="S2773" s="14">
        <v>532500</v>
      </c>
      <c r="T2773" s="21"/>
    </row>
    <row r="2774" spans="1:20" ht="14.45" hidden="1" customHeight="1" x14ac:dyDescent="0.25">
      <c r="B2774" s="89">
        <v>44141.125</v>
      </c>
      <c r="C2774" s="92" t="s">
        <v>2618</v>
      </c>
      <c r="D2774" s="23"/>
      <c r="E2774" s="91">
        <v>8320000</v>
      </c>
      <c r="F2774" s="93"/>
      <c r="G2774" s="93">
        <f t="shared" si="528"/>
        <v>8320000</v>
      </c>
      <c r="H2774" s="94"/>
      <c r="I2774" s="94">
        <v>284216.25</v>
      </c>
      <c r="J2774" s="94">
        <v>71208.88</v>
      </c>
      <c r="K2774" s="25">
        <f t="shared" si="529"/>
        <v>7964574.8700000001</v>
      </c>
      <c r="L2774" s="95">
        <f t="shared" si="530"/>
        <v>17472000</v>
      </c>
      <c r="M2774" s="96"/>
      <c r="N2774" s="96"/>
      <c r="O2774" s="130"/>
      <c r="P2774" s="55">
        <v>769350342</v>
      </c>
      <c r="Q2774" s="97">
        <v>44105</v>
      </c>
      <c r="R2774" s="14">
        <v>416000</v>
      </c>
      <c r="S2774" s="14">
        <v>532500</v>
      </c>
      <c r="T2774" s="21"/>
    </row>
    <row r="2775" spans="1:20" ht="14.45" hidden="1" customHeight="1" x14ac:dyDescent="0.25">
      <c r="B2775" s="89">
        <v>44169.125</v>
      </c>
      <c r="C2775" s="92" t="s">
        <v>2619</v>
      </c>
      <c r="D2775" s="23"/>
      <c r="E2775" s="91">
        <v>8320000</v>
      </c>
      <c r="F2775" s="93"/>
      <c r="G2775" s="93">
        <f t="shared" si="528"/>
        <v>8320000</v>
      </c>
      <c r="H2775" s="94"/>
      <c r="I2775" s="94">
        <v>284216.25</v>
      </c>
      <c r="J2775" s="94">
        <v>71208.88</v>
      </c>
      <c r="K2775" s="25">
        <f t="shared" si="529"/>
        <v>7964574.8700000001</v>
      </c>
      <c r="L2775" s="95">
        <f t="shared" si="530"/>
        <v>9152000</v>
      </c>
      <c r="M2775" s="96"/>
      <c r="N2775" s="96"/>
      <c r="O2775" s="130"/>
      <c r="P2775" s="55">
        <v>794913043</v>
      </c>
      <c r="Q2775" s="97">
        <v>44136</v>
      </c>
      <c r="R2775" s="14">
        <v>416000</v>
      </c>
      <c r="S2775" s="14">
        <v>532500</v>
      </c>
      <c r="T2775" s="21"/>
    </row>
    <row r="2776" spans="1:20" ht="14.45" hidden="1" customHeight="1" x14ac:dyDescent="0.25">
      <c r="B2776" s="89">
        <v>44193.125</v>
      </c>
      <c r="C2776" s="92" t="s">
        <v>2620</v>
      </c>
      <c r="D2776" s="23"/>
      <c r="E2776" s="91">
        <v>8320000</v>
      </c>
      <c r="F2776" s="93"/>
      <c r="G2776" s="93">
        <f>+E2776</f>
        <v>8320000</v>
      </c>
      <c r="H2776" s="94"/>
      <c r="I2776" s="94">
        <v>284216.25</v>
      </c>
      <c r="J2776" s="94">
        <v>71208.88</v>
      </c>
      <c r="K2776" s="25">
        <f t="shared" si="529"/>
        <v>7964574.8700000001</v>
      </c>
      <c r="L2776" s="95">
        <f t="shared" si="530"/>
        <v>832000</v>
      </c>
      <c r="M2776" s="96"/>
      <c r="N2776" s="96"/>
      <c r="O2776" s="130"/>
      <c r="P2776" s="55">
        <v>47363014</v>
      </c>
      <c r="Q2776" s="97">
        <v>44166</v>
      </c>
      <c r="R2776" s="14">
        <v>416000</v>
      </c>
      <c r="S2776" s="14">
        <v>532500</v>
      </c>
      <c r="T2776" s="21"/>
    </row>
    <row r="2777" spans="1:20" ht="14.45" hidden="1" customHeight="1" x14ac:dyDescent="0.25">
      <c r="B2777" s="89"/>
      <c r="C2777" s="92" t="s">
        <v>2047</v>
      </c>
      <c r="D2777" s="23"/>
      <c r="E2777" s="91">
        <v>832000</v>
      </c>
      <c r="F2777" s="93"/>
      <c r="G2777" s="93">
        <f>+E2777</f>
        <v>832000</v>
      </c>
      <c r="H2777" s="94"/>
      <c r="I2777" s="94"/>
      <c r="J2777" s="94"/>
      <c r="K2777" s="25">
        <f t="shared" si="529"/>
        <v>832000</v>
      </c>
      <c r="L2777" s="95">
        <f t="shared" si="530"/>
        <v>0</v>
      </c>
      <c r="M2777" s="96"/>
      <c r="N2777" s="96"/>
      <c r="O2777" s="130"/>
      <c r="P2777" s="55"/>
      <c r="Q2777" s="97"/>
      <c r="R2777" s="14"/>
      <c r="S2777" s="14"/>
      <c r="T2777" s="21"/>
    </row>
    <row r="2778" spans="1:20" ht="15.6" hidden="1" customHeight="1" x14ac:dyDescent="0.25">
      <c r="B2778" s="9" t="s">
        <v>2621</v>
      </c>
      <c r="C2778" s="10"/>
      <c r="D2778" s="11">
        <v>37440000</v>
      </c>
      <c r="E2778" s="11">
        <f>+D2778</f>
        <v>37440000</v>
      </c>
      <c r="F2778" s="11"/>
      <c r="G2778" s="11"/>
      <c r="H2778" s="11"/>
      <c r="I2778" s="11"/>
      <c r="J2778" s="11"/>
      <c r="K2778" s="11"/>
      <c r="L2778" s="11">
        <f>+D2778</f>
        <v>37440000</v>
      </c>
      <c r="M2778" s="12"/>
      <c r="N2778" s="12"/>
      <c r="P2778" s="55"/>
      <c r="Q2778" s="55"/>
      <c r="R2778" s="14"/>
      <c r="S2778" s="14"/>
      <c r="T2778" s="21"/>
    </row>
    <row r="2779" spans="1:20" ht="15" hidden="1" customHeight="1" x14ac:dyDescent="0.25">
      <c r="B2779" s="89">
        <v>44048.083333333336</v>
      </c>
      <c r="C2779" s="92" t="s">
        <v>2622</v>
      </c>
      <c r="D2779" s="23"/>
      <c r="E2779" s="91">
        <v>5200000</v>
      </c>
      <c r="F2779" s="93"/>
      <c r="G2779" s="93">
        <f t="shared" ref="G2779:G2785" si="531">+E2779</f>
        <v>5200000</v>
      </c>
      <c r="H2779" s="94"/>
      <c r="I2779" s="94"/>
      <c r="J2779" s="94">
        <v>44505.55</v>
      </c>
      <c r="K2779" s="25">
        <f t="shared" ref="K2779:K2784" si="532">+G2779-H2779-I2779-J2779</f>
        <v>5155494.45</v>
      </c>
      <c r="L2779" s="95">
        <f t="shared" ref="L2779:L2784" si="533">+L2778-G2779</f>
        <v>32240000</v>
      </c>
      <c r="M2779" s="96"/>
      <c r="N2779" s="96"/>
      <c r="O2779" s="130">
        <f>+L2785-'[1]ANEXO 7 - PPTO VIG 2020'!T114</f>
        <v>0</v>
      </c>
      <c r="P2779" s="55">
        <v>44010275</v>
      </c>
      <c r="Q2779" s="97">
        <v>43983</v>
      </c>
      <c r="R2779" s="14">
        <v>243400</v>
      </c>
      <c r="S2779" s="14">
        <v>311600</v>
      </c>
      <c r="T2779" s="21"/>
    </row>
    <row r="2780" spans="1:20" ht="15" hidden="1" customHeight="1" x14ac:dyDescent="0.25">
      <c r="B2780" s="89">
        <v>44076.083333333336</v>
      </c>
      <c r="C2780" s="92" t="s">
        <v>2623</v>
      </c>
      <c r="D2780" s="23"/>
      <c r="E2780" s="91">
        <v>6240000</v>
      </c>
      <c r="F2780" s="93"/>
      <c r="G2780" s="93">
        <f t="shared" si="531"/>
        <v>6240000</v>
      </c>
      <c r="H2780" s="94"/>
      <c r="I2780" s="94">
        <v>54338.1</v>
      </c>
      <c r="J2780" s="94">
        <v>53406.66</v>
      </c>
      <c r="K2780" s="25">
        <f t="shared" si="532"/>
        <v>6132255.2400000002</v>
      </c>
      <c r="L2780" s="95">
        <f t="shared" si="533"/>
        <v>26000000</v>
      </c>
      <c r="M2780" s="96"/>
      <c r="N2780" s="96"/>
      <c r="O2780" s="130"/>
      <c r="P2780" s="55">
        <v>44085273</v>
      </c>
      <c r="Q2780" s="97">
        <v>44013</v>
      </c>
      <c r="R2780" s="14">
        <v>312000</v>
      </c>
      <c r="S2780" s="14">
        <v>399400</v>
      </c>
      <c r="T2780" s="21"/>
    </row>
    <row r="2781" spans="1:20" ht="15" hidden="1" customHeight="1" x14ac:dyDescent="0.25">
      <c r="B2781" s="89">
        <v>44109.083333333336</v>
      </c>
      <c r="C2781" s="92" t="s">
        <v>2624</v>
      </c>
      <c r="D2781" s="23"/>
      <c r="E2781" s="91">
        <v>6240000</v>
      </c>
      <c r="F2781" s="93"/>
      <c r="G2781" s="93">
        <f t="shared" si="531"/>
        <v>6240000</v>
      </c>
      <c r="H2781" s="94"/>
      <c r="I2781" s="94">
        <v>54338.1</v>
      </c>
      <c r="J2781" s="94">
        <v>53406.66</v>
      </c>
      <c r="K2781" s="25">
        <f t="shared" si="532"/>
        <v>6132255.2400000002</v>
      </c>
      <c r="L2781" s="95">
        <f t="shared" si="533"/>
        <v>19760000</v>
      </c>
      <c r="M2781" s="96"/>
      <c r="N2781" s="96"/>
      <c r="O2781" s="130"/>
      <c r="P2781" s="55">
        <v>44704108</v>
      </c>
      <c r="Q2781" s="97">
        <v>44044</v>
      </c>
      <c r="R2781" s="14">
        <v>312000</v>
      </c>
      <c r="S2781" s="14">
        <v>399400</v>
      </c>
      <c r="T2781" s="21"/>
    </row>
    <row r="2782" spans="1:20" ht="15" hidden="1" customHeight="1" x14ac:dyDescent="0.25">
      <c r="B2782" s="89">
        <v>44141.125</v>
      </c>
      <c r="C2782" s="92" t="s">
        <v>2625</v>
      </c>
      <c r="D2782" s="23"/>
      <c r="E2782" s="91">
        <v>6240000</v>
      </c>
      <c r="F2782" s="93"/>
      <c r="G2782" s="93">
        <f t="shared" si="531"/>
        <v>6240000</v>
      </c>
      <c r="H2782" s="94"/>
      <c r="I2782" s="94">
        <v>54338.1</v>
      </c>
      <c r="J2782" s="94">
        <v>53406.66</v>
      </c>
      <c r="K2782" s="25">
        <f t="shared" si="532"/>
        <v>6132255.2400000002</v>
      </c>
      <c r="L2782" s="95">
        <f t="shared" si="533"/>
        <v>13520000</v>
      </c>
      <c r="M2782" s="96"/>
      <c r="N2782" s="96"/>
      <c r="O2782" s="130"/>
      <c r="P2782" s="55">
        <v>45389619</v>
      </c>
      <c r="Q2782" s="97">
        <v>44075</v>
      </c>
      <c r="R2782" s="14">
        <v>312000</v>
      </c>
      <c r="S2782" s="14">
        <v>399400</v>
      </c>
      <c r="T2782" s="21"/>
    </row>
    <row r="2783" spans="1:20" ht="15" hidden="1" customHeight="1" x14ac:dyDescent="0.25">
      <c r="B2783" s="89">
        <v>44168.125</v>
      </c>
      <c r="C2783" s="92" t="s">
        <v>2626</v>
      </c>
      <c r="D2783" s="23"/>
      <c r="E2783" s="91">
        <v>6240000</v>
      </c>
      <c r="F2783" s="93"/>
      <c r="G2783" s="93">
        <f t="shared" si="531"/>
        <v>6240000</v>
      </c>
      <c r="H2783" s="94"/>
      <c r="I2783" s="94">
        <v>54338.1</v>
      </c>
      <c r="J2783" s="94">
        <v>53406.66</v>
      </c>
      <c r="K2783" s="25">
        <f t="shared" si="532"/>
        <v>6132255.2400000002</v>
      </c>
      <c r="L2783" s="95">
        <f t="shared" si="533"/>
        <v>7280000</v>
      </c>
      <c r="M2783" s="96"/>
      <c r="N2783" s="96"/>
      <c r="O2783" s="130"/>
      <c r="P2783" s="55">
        <v>46023902</v>
      </c>
      <c r="Q2783" s="97">
        <v>44105</v>
      </c>
      <c r="R2783" s="14">
        <v>312000</v>
      </c>
      <c r="S2783" s="14">
        <v>399400</v>
      </c>
      <c r="T2783" s="21"/>
    </row>
    <row r="2784" spans="1:20" ht="15" hidden="1" customHeight="1" x14ac:dyDescent="0.25">
      <c r="B2784" s="89">
        <v>44186.125</v>
      </c>
      <c r="C2784" s="92" t="s">
        <v>2627</v>
      </c>
      <c r="D2784" s="23"/>
      <c r="E2784" s="91">
        <v>6240000</v>
      </c>
      <c r="F2784" s="93"/>
      <c r="G2784" s="93">
        <f t="shared" si="531"/>
        <v>6240000</v>
      </c>
      <c r="H2784" s="94"/>
      <c r="I2784" s="94">
        <v>54338.1</v>
      </c>
      <c r="J2784" s="94">
        <v>53406.66</v>
      </c>
      <c r="K2784" s="25">
        <f t="shared" si="532"/>
        <v>6132255.2400000002</v>
      </c>
      <c r="L2784" s="95">
        <f t="shared" si="533"/>
        <v>1040000</v>
      </c>
      <c r="M2784" s="96"/>
      <c r="N2784" s="96"/>
      <c r="O2784" s="130"/>
      <c r="P2784" s="55">
        <v>46645555</v>
      </c>
      <c r="Q2784" s="97">
        <v>44136</v>
      </c>
      <c r="R2784" s="14">
        <v>312000</v>
      </c>
      <c r="S2784" s="14">
        <v>399400</v>
      </c>
      <c r="T2784" s="21"/>
    </row>
    <row r="2785" spans="2:20" ht="15" hidden="1" customHeight="1" x14ac:dyDescent="0.25">
      <c r="B2785" s="89"/>
      <c r="C2785" s="92" t="s">
        <v>2047</v>
      </c>
      <c r="D2785" s="23"/>
      <c r="E2785" s="91">
        <v>1040000</v>
      </c>
      <c r="F2785" s="93"/>
      <c r="G2785" s="93">
        <f t="shared" si="531"/>
        <v>1040000</v>
      </c>
      <c r="H2785" s="94"/>
      <c r="I2785" s="94"/>
      <c r="J2785" s="94"/>
      <c r="K2785" s="25">
        <f>+G2785-H2785-I2785-J2785</f>
        <v>1040000</v>
      </c>
      <c r="L2785" s="95">
        <f>+L2784-G2785</f>
        <v>0</v>
      </c>
      <c r="M2785" s="96"/>
      <c r="N2785" s="96"/>
      <c r="O2785" s="130"/>
      <c r="P2785" s="55">
        <v>47316211</v>
      </c>
      <c r="Q2785" s="97">
        <v>44166</v>
      </c>
      <c r="R2785" s="14">
        <v>312000</v>
      </c>
      <c r="S2785" s="14">
        <v>399400</v>
      </c>
      <c r="T2785" s="21"/>
    </row>
    <row r="2786" spans="2:20" ht="15.6" hidden="1" customHeight="1" x14ac:dyDescent="0.25">
      <c r="B2786" s="9" t="s">
        <v>2628</v>
      </c>
      <c r="C2786" s="10"/>
      <c r="D2786" s="11">
        <v>24960000</v>
      </c>
      <c r="E2786" s="11">
        <f>+D2786</f>
        <v>24960000</v>
      </c>
      <c r="F2786" s="11"/>
      <c r="G2786" s="11"/>
      <c r="H2786" s="11"/>
      <c r="I2786" s="11"/>
      <c r="J2786" s="11"/>
      <c r="K2786" s="11"/>
      <c r="L2786" s="11">
        <f>+D2786</f>
        <v>24960000</v>
      </c>
      <c r="M2786" s="12"/>
      <c r="N2786" s="12"/>
      <c r="P2786" s="55"/>
      <c r="Q2786" s="55"/>
      <c r="R2786" s="14"/>
      <c r="S2786" s="14"/>
      <c r="T2786" s="21"/>
    </row>
    <row r="2787" spans="2:20" ht="15" hidden="1" customHeight="1" x14ac:dyDescent="0.25">
      <c r="B2787" s="89">
        <v>44057.083333333336</v>
      </c>
      <c r="C2787" s="92" t="s">
        <v>2629</v>
      </c>
      <c r="D2787" s="23"/>
      <c r="E2787" s="91">
        <v>3328000</v>
      </c>
      <c r="F2787" s="93"/>
      <c r="G2787" s="93">
        <f t="shared" ref="G2787:G2793" si="534">+E2787</f>
        <v>3328000</v>
      </c>
      <c r="H2787" s="94"/>
      <c r="I2787" s="94"/>
      <c r="J2787" s="91">
        <v>28483.55</v>
      </c>
      <c r="K2787" s="25">
        <f t="shared" ref="K2787:K2792" si="535">+G2787-H2787-I2787-J2787</f>
        <v>3299516.45</v>
      </c>
      <c r="L2787" s="95">
        <f t="shared" ref="L2787:L2792" si="536">+L2786-G2787</f>
        <v>21632000</v>
      </c>
      <c r="M2787" s="96"/>
      <c r="N2787" s="96"/>
      <c r="O2787" s="130">
        <f>+L2793-'[1]ANEXO 7 - PPTO VIG 2020'!T72</f>
        <v>0</v>
      </c>
      <c r="P2787" s="55">
        <v>9409248647</v>
      </c>
      <c r="Q2787" s="97">
        <v>44013</v>
      </c>
      <c r="R2787" s="14">
        <v>6900</v>
      </c>
      <c r="S2787" s="14">
        <v>8800</v>
      </c>
    </row>
    <row r="2788" spans="2:20" ht="14.45" hidden="1" customHeight="1" x14ac:dyDescent="0.25">
      <c r="B2788" s="89">
        <v>44076.083333333336</v>
      </c>
      <c r="C2788" s="92" t="s">
        <v>2630</v>
      </c>
      <c r="D2788" s="23"/>
      <c r="E2788" s="91">
        <v>4160000</v>
      </c>
      <c r="F2788" s="93"/>
      <c r="G2788" s="93">
        <f t="shared" si="534"/>
        <v>4160000</v>
      </c>
      <c r="H2788" s="94"/>
      <c r="I2788" s="94"/>
      <c r="J2788" s="94">
        <v>35604.44</v>
      </c>
      <c r="K2788" s="25">
        <f t="shared" si="535"/>
        <v>4124395.56</v>
      </c>
      <c r="L2788" s="95">
        <f t="shared" si="536"/>
        <v>17472000</v>
      </c>
      <c r="M2788" s="96"/>
      <c r="N2788" s="96"/>
      <c r="O2788" s="130"/>
      <c r="P2788" s="55">
        <v>9408807052</v>
      </c>
      <c r="Q2788" s="97">
        <v>44013</v>
      </c>
      <c r="R2788" s="14">
        <v>344500</v>
      </c>
      <c r="S2788" s="14">
        <v>441000</v>
      </c>
    </row>
    <row r="2789" spans="2:20" ht="14.45" hidden="1" customHeight="1" x14ac:dyDescent="0.25">
      <c r="B2789" s="89">
        <v>44113.083333333336</v>
      </c>
      <c r="C2789" s="92" t="s">
        <v>2631</v>
      </c>
      <c r="D2789" s="23"/>
      <c r="E2789" s="91">
        <v>4160000</v>
      </c>
      <c r="F2789" s="93"/>
      <c r="G2789" s="93">
        <f t="shared" si="534"/>
        <v>4160000</v>
      </c>
      <c r="H2789" s="94"/>
      <c r="I2789" s="94"/>
      <c r="J2789" s="94">
        <v>35604.44</v>
      </c>
      <c r="K2789" s="25">
        <f t="shared" si="535"/>
        <v>4124395.56</v>
      </c>
      <c r="L2789" s="95">
        <f t="shared" si="536"/>
        <v>13312000</v>
      </c>
      <c r="M2789" s="96"/>
      <c r="N2789" s="96"/>
      <c r="O2789" s="130"/>
      <c r="P2789" s="55">
        <v>9409038402</v>
      </c>
      <c r="Q2789" s="97">
        <v>44044</v>
      </c>
      <c r="R2789" s="14">
        <v>393000</v>
      </c>
      <c r="S2789" s="14">
        <v>503100</v>
      </c>
      <c r="T2789" s="3">
        <f>24960000*40%</f>
        <v>9984000</v>
      </c>
    </row>
    <row r="2790" spans="2:20" ht="14.45" hidden="1" customHeight="1" x14ac:dyDescent="0.25">
      <c r="B2790" s="89">
        <v>44147.125</v>
      </c>
      <c r="C2790" s="92" t="s">
        <v>2632</v>
      </c>
      <c r="D2790" s="23"/>
      <c r="E2790" s="91">
        <v>4160000</v>
      </c>
      <c r="F2790" s="93"/>
      <c r="G2790" s="93">
        <f t="shared" si="534"/>
        <v>4160000</v>
      </c>
      <c r="H2790" s="94"/>
      <c r="I2790" s="94"/>
      <c r="J2790" s="94">
        <v>35604.44</v>
      </c>
      <c r="K2790" s="25">
        <f t="shared" si="535"/>
        <v>4124395.56</v>
      </c>
      <c r="L2790" s="95">
        <f t="shared" si="536"/>
        <v>9152000</v>
      </c>
      <c r="M2790" s="96"/>
      <c r="N2790" s="96"/>
      <c r="O2790" s="130"/>
      <c r="P2790" s="55">
        <v>9410082348</v>
      </c>
      <c r="Q2790" s="97">
        <v>44075</v>
      </c>
      <c r="R2790" s="14">
        <v>393000</v>
      </c>
      <c r="S2790" s="14">
        <v>503100</v>
      </c>
      <c r="T2790" s="3">
        <f>+T2789*12.5%</f>
        <v>1248000</v>
      </c>
    </row>
    <row r="2791" spans="2:20" ht="14.45" hidden="1" customHeight="1" x14ac:dyDescent="0.25">
      <c r="B2791" s="89">
        <v>44169.125</v>
      </c>
      <c r="C2791" s="92" t="s">
        <v>2633</v>
      </c>
      <c r="D2791" s="23"/>
      <c r="E2791" s="91">
        <v>4160000</v>
      </c>
      <c r="F2791" s="93"/>
      <c r="G2791" s="93">
        <f t="shared" si="534"/>
        <v>4160000</v>
      </c>
      <c r="H2791" s="94"/>
      <c r="I2791" s="94"/>
      <c r="J2791" s="94">
        <v>35604.44</v>
      </c>
      <c r="K2791" s="25">
        <f t="shared" si="535"/>
        <v>4124395.56</v>
      </c>
      <c r="L2791" s="95">
        <f t="shared" si="536"/>
        <v>4992000</v>
      </c>
      <c r="M2791" s="96"/>
      <c r="N2791" s="96"/>
      <c r="O2791" s="130"/>
      <c r="P2791" s="55">
        <v>9411188597</v>
      </c>
      <c r="Q2791" s="97">
        <v>44105</v>
      </c>
      <c r="R2791" s="14">
        <v>393000</v>
      </c>
      <c r="S2791" s="14">
        <v>503100</v>
      </c>
      <c r="T2791" s="3">
        <f>+T2789*16%</f>
        <v>1597440</v>
      </c>
    </row>
    <row r="2792" spans="2:20" ht="14.45" hidden="1" customHeight="1" x14ac:dyDescent="0.25">
      <c r="B2792" s="89">
        <v>44187.125</v>
      </c>
      <c r="C2792" s="92" t="s">
        <v>2634</v>
      </c>
      <c r="D2792" s="23"/>
      <c r="E2792" s="91">
        <v>4160000</v>
      </c>
      <c r="F2792" s="93"/>
      <c r="G2792" s="93">
        <f t="shared" si="534"/>
        <v>4160000</v>
      </c>
      <c r="H2792" s="94"/>
      <c r="I2792" s="94"/>
      <c r="J2792" s="94">
        <v>35604.44</v>
      </c>
      <c r="K2792" s="25">
        <f t="shared" si="535"/>
        <v>4124395.56</v>
      </c>
      <c r="L2792" s="95">
        <f t="shared" si="536"/>
        <v>832000</v>
      </c>
      <c r="M2792" s="96"/>
      <c r="N2792" s="96"/>
      <c r="O2792" s="130"/>
      <c r="P2792" s="55">
        <v>9412850430</v>
      </c>
      <c r="Q2792" s="97">
        <v>44136</v>
      </c>
      <c r="R2792" s="14">
        <v>393000</v>
      </c>
      <c r="S2792" s="14">
        <v>503100</v>
      </c>
      <c r="T2792" s="21"/>
    </row>
    <row r="2793" spans="2:20" ht="14.45" hidden="1" customHeight="1" x14ac:dyDescent="0.25">
      <c r="B2793" s="89"/>
      <c r="C2793" s="92" t="s">
        <v>2047</v>
      </c>
      <c r="D2793" s="23"/>
      <c r="E2793" s="91">
        <v>832000</v>
      </c>
      <c r="F2793" s="93"/>
      <c r="G2793" s="93">
        <f t="shared" si="534"/>
        <v>832000</v>
      </c>
      <c r="H2793" s="94"/>
      <c r="K2793" s="25">
        <f>+G2793-H2793-I2793-J2793</f>
        <v>832000</v>
      </c>
      <c r="L2793" s="95">
        <f>+L2792-G2793</f>
        <v>0</v>
      </c>
      <c r="M2793" s="96"/>
      <c r="N2793" s="96"/>
      <c r="O2793" s="130"/>
      <c r="P2793" s="55">
        <v>9413607635</v>
      </c>
      <c r="Q2793" s="97">
        <v>44166</v>
      </c>
      <c r="R2793" s="14">
        <v>306700</v>
      </c>
      <c r="S2793" s="14">
        <v>392600</v>
      </c>
      <c r="T2793" s="21"/>
    </row>
    <row r="2794" spans="2:20" ht="15.6" hidden="1" customHeight="1" x14ac:dyDescent="0.25">
      <c r="B2794" s="9" t="s">
        <v>2635</v>
      </c>
      <c r="C2794" s="10"/>
      <c r="D2794" s="11">
        <v>28600000</v>
      </c>
      <c r="E2794" s="11">
        <f>+D2794</f>
        <v>28600000</v>
      </c>
      <c r="F2794" s="11"/>
      <c r="G2794" s="11"/>
      <c r="H2794" s="11"/>
      <c r="I2794" s="11"/>
      <c r="J2794" s="11"/>
      <c r="K2794" s="11"/>
      <c r="L2794" s="11">
        <f>+D2794</f>
        <v>28600000</v>
      </c>
      <c r="M2794" s="12"/>
      <c r="N2794" s="12"/>
      <c r="P2794" s="55"/>
      <c r="Q2794" s="55"/>
      <c r="R2794" s="14"/>
      <c r="S2794" s="14"/>
    </row>
    <row r="2795" spans="2:20" ht="15" hidden="1" customHeight="1" x14ac:dyDescent="0.25">
      <c r="B2795" s="89">
        <v>44057.083333333336</v>
      </c>
      <c r="C2795" s="92" t="s">
        <v>2636</v>
      </c>
      <c r="D2795" s="23"/>
      <c r="E2795" s="91">
        <v>2946667</v>
      </c>
      <c r="F2795" s="93"/>
      <c r="G2795" s="93">
        <f t="shared" ref="G2795:G2800" si="537">+E2795</f>
        <v>2946667</v>
      </c>
      <c r="H2795" s="94"/>
      <c r="I2795" s="94"/>
      <c r="J2795" s="94">
        <v>25219.82</v>
      </c>
      <c r="K2795" s="25">
        <f t="shared" ref="K2795:K2800" si="538">+G2795-H2795-I2795-J2795</f>
        <v>2921447.18</v>
      </c>
      <c r="L2795" s="95">
        <f t="shared" ref="L2795:L2800" si="539">+L2794-G2795</f>
        <v>25653333</v>
      </c>
      <c r="M2795" s="96"/>
      <c r="N2795" s="96"/>
      <c r="O2795" s="130">
        <f>+L2800-'[1]ANEXO 7 - PPTO VIG 2020'!T111</f>
        <v>0</v>
      </c>
      <c r="P2795" s="55">
        <v>44480280</v>
      </c>
      <c r="Q2795" s="97">
        <v>44013</v>
      </c>
      <c r="R2795" s="14">
        <v>8700</v>
      </c>
      <c r="S2795" s="14">
        <v>11100</v>
      </c>
    </row>
    <row r="2796" spans="2:20" ht="14.45" hidden="1" customHeight="1" x14ac:dyDescent="0.25">
      <c r="B2796" s="89">
        <v>44077.083333333336</v>
      </c>
      <c r="C2796" s="92" t="s">
        <v>2637</v>
      </c>
      <c r="D2796" s="23"/>
      <c r="E2796" s="91">
        <v>5200000</v>
      </c>
      <c r="F2796" s="93"/>
      <c r="G2796" s="93">
        <f t="shared" si="537"/>
        <v>5200000</v>
      </c>
      <c r="H2796" s="94"/>
      <c r="I2796" s="94">
        <v>12266.4</v>
      </c>
      <c r="J2796" s="94">
        <v>44505.55</v>
      </c>
      <c r="K2796" s="25">
        <f t="shared" si="538"/>
        <v>5143228.05</v>
      </c>
      <c r="L2796" s="95">
        <f t="shared" si="539"/>
        <v>20453333</v>
      </c>
      <c r="M2796" s="96"/>
      <c r="N2796" s="96"/>
      <c r="O2796" s="130"/>
      <c r="P2796" s="55">
        <v>44397143</v>
      </c>
      <c r="Q2796" s="97">
        <v>44013</v>
      </c>
      <c r="R2796" s="14">
        <v>138700</v>
      </c>
      <c r="S2796" s="14">
        <v>177500</v>
      </c>
    </row>
    <row r="2797" spans="2:20" ht="14.45" hidden="1" customHeight="1" x14ac:dyDescent="0.25">
      <c r="B2797" s="89">
        <v>44110.083333333336</v>
      </c>
      <c r="C2797" s="92" t="s">
        <v>2638</v>
      </c>
      <c r="D2797" s="23"/>
      <c r="E2797" s="91">
        <v>5200000</v>
      </c>
      <c r="F2797" s="93"/>
      <c r="G2797" s="93">
        <f t="shared" si="537"/>
        <v>5200000</v>
      </c>
      <c r="H2797" s="94"/>
      <c r="I2797" s="94">
        <v>12266.4</v>
      </c>
      <c r="J2797" s="94">
        <v>44505.55</v>
      </c>
      <c r="K2797" s="25">
        <f t="shared" si="538"/>
        <v>5143228.05</v>
      </c>
      <c r="L2797" s="95">
        <f t="shared" si="539"/>
        <v>15253333</v>
      </c>
      <c r="M2797" s="96"/>
      <c r="N2797" s="96"/>
      <c r="O2797" s="130"/>
      <c r="P2797" s="55">
        <v>44554223</v>
      </c>
      <c r="Q2797" s="97">
        <v>44044</v>
      </c>
      <c r="R2797" s="14">
        <v>260000</v>
      </c>
      <c r="S2797" s="14">
        <v>332000</v>
      </c>
    </row>
    <row r="2798" spans="2:20" ht="14.45" hidden="1" customHeight="1" x14ac:dyDescent="0.25">
      <c r="B2798" s="89">
        <v>44147.125</v>
      </c>
      <c r="C2798" s="92" t="s">
        <v>2639</v>
      </c>
      <c r="D2798" s="23"/>
      <c r="E2798" s="91">
        <v>5200000</v>
      </c>
      <c r="F2798" s="93"/>
      <c r="G2798" s="93">
        <f t="shared" si="537"/>
        <v>5200000</v>
      </c>
      <c r="H2798" s="94"/>
      <c r="I2798" s="94">
        <v>12266.4</v>
      </c>
      <c r="J2798" s="94">
        <v>44505.55</v>
      </c>
      <c r="K2798" s="25">
        <f t="shared" si="538"/>
        <v>5143228.05</v>
      </c>
      <c r="L2798" s="95">
        <f t="shared" si="539"/>
        <v>10053333</v>
      </c>
      <c r="M2798" s="96"/>
      <c r="N2798" s="96"/>
      <c r="O2798" s="130"/>
      <c r="P2798" s="55">
        <v>45252126</v>
      </c>
      <c r="Q2798" s="97">
        <v>44075</v>
      </c>
      <c r="R2798" s="14">
        <v>260000</v>
      </c>
      <c r="S2798" s="14">
        <v>332000</v>
      </c>
    </row>
    <row r="2799" spans="2:20" ht="14.45" hidden="1" customHeight="1" x14ac:dyDescent="0.25">
      <c r="B2799" s="89">
        <v>44175.125</v>
      </c>
      <c r="C2799" s="92" t="s">
        <v>2640</v>
      </c>
      <c r="D2799" s="23"/>
      <c r="E2799" s="91">
        <v>5200000</v>
      </c>
      <c r="F2799" s="93"/>
      <c r="G2799" s="93">
        <f t="shared" si="537"/>
        <v>5200000</v>
      </c>
      <c r="H2799" s="94"/>
      <c r="I2799" s="94"/>
      <c r="J2799" s="94">
        <v>44505.55</v>
      </c>
      <c r="K2799" s="25">
        <f t="shared" si="538"/>
        <v>5155494.45</v>
      </c>
      <c r="L2799" s="95">
        <f t="shared" si="539"/>
        <v>4853333</v>
      </c>
      <c r="M2799" s="96"/>
      <c r="N2799" s="96"/>
      <c r="O2799" s="130"/>
      <c r="P2799" s="55">
        <v>45880676</v>
      </c>
      <c r="Q2799" s="97">
        <v>44105</v>
      </c>
      <c r="R2799" s="14">
        <v>260000</v>
      </c>
      <c r="S2799" s="14">
        <v>332000</v>
      </c>
      <c r="T2799" s="3">
        <f>L2794*40%</f>
        <v>11440000</v>
      </c>
    </row>
    <row r="2800" spans="2:20" ht="14.45" hidden="1" customHeight="1" x14ac:dyDescent="0.25">
      <c r="B2800" s="89">
        <v>44200.125</v>
      </c>
      <c r="C2800" s="92" t="s">
        <v>2641</v>
      </c>
      <c r="D2800" s="23"/>
      <c r="E2800" s="91">
        <v>4853333</v>
      </c>
      <c r="F2800" s="93"/>
      <c r="G2800" s="93">
        <f t="shared" si="537"/>
        <v>4853333</v>
      </c>
      <c r="H2800" s="94"/>
      <c r="I2800" s="94"/>
      <c r="J2800" s="94">
        <v>41538.51</v>
      </c>
      <c r="K2800" s="25">
        <f t="shared" si="538"/>
        <v>4811794.49</v>
      </c>
      <c r="L2800" s="95">
        <f t="shared" si="539"/>
        <v>0</v>
      </c>
      <c r="M2800" s="96"/>
      <c r="N2800" s="96"/>
      <c r="O2800" s="130"/>
      <c r="P2800" s="55">
        <v>798737675</v>
      </c>
      <c r="Q2800" s="97">
        <v>44136</v>
      </c>
      <c r="R2800" s="14">
        <v>260000</v>
      </c>
      <c r="S2800" s="14">
        <v>332000</v>
      </c>
      <c r="T2800" s="3">
        <f>+T2799*12.5%</f>
        <v>1430000</v>
      </c>
    </row>
    <row r="2801" spans="2:20" s="31" customFormat="1" ht="15.6" hidden="1" customHeight="1" x14ac:dyDescent="0.25">
      <c r="B2801" s="139" t="s">
        <v>2642</v>
      </c>
      <c r="C2801" s="140"/>
      <c r="D2801" s="141">
        <v>23712000</v>
      </c>
      <c r="E2801" s="141">
        <f>+D2801</f>
        <v>23712000</v>
      </c>
      <c r="F2801" s="141"/>
      <c r="G2801" s="141"/>
      <c r="H2801" s="141"/>
      <c r="I2801" s="141"/>
      <c r="J2801" s="141"/>
      <c r="K2801" s="141"/>
      <c r="L2801" s="141">
        <f>+D2801</f>
        <v>23712000</v>
      </c>
      <c r="M2801" s="142"/>
      <c r="N2801" s="142"/>
      <c r="P2801" s="126"/>
      <c r="Q2801" s="126"/>
      <c r="R2801" s="29"/>
      <c r="S2801" s="29"/>
      <c r="T2801" s="30"/>
    </row>
    <row r="2802" spans="2:20" s="31" customFormat="1" ht="15" hidden="1" customHeight="1" x14ac:dyDescent="0.25">
      <c r="B2802" s="89">
        <v>44064.083333333336</v>
      </c>
      <c r="C2802" s="92" t="s">
        <v>2643</v>
      </c>
      <c r="D2802" s="23"/>
      <c r="E2802" s="91">
        <v>2912000</v>
      </c>
      <c r="F2802" s="93"/>
      <c r="G2802" s="93">
        <f t="shared" ref="G2802:G2807" si="540">+E2802</f>
        <v>2912000</v>
      </c>
      <c r="H2802" s="94"/>
      <c r="I2802" s="94"/>
      <c r="J2802" s="94">
        <v>24923.11</v>
      </c>
      <c r="K2802" s="25">
        <f t="shared" ref="K2802:K2807" si="541">+G2802-H2802-I2802-J2802</f>
        <v>2887076.89</v>
      </c>
      <c r="L2802" s="95">
        <f t="shared" ref="L2802:L2807" si="542">+L2801-G2802</f>
        <v>20800000</v>
      </c>
      <c r="M2802" s="96"/>
      <c r="N2802" s="96"/>
      <c r="O2802" s="130">
        <f>+L2807-'[1]ANEXO 7 - PPTO VIG 2020'!T71</f>
        <v>0</v>
      </c>
      <c r="P2802" s="126">
        <v>44010275</v>
      </c>
      <c r="Q2802" s="127">
        <v>44013</v>
      </c>
      <c r="R2802" s="29">
        <v>243400</v>
      </c>
      <c r="S2802" s="29">
        <v>311600</v>
      </c>
      <c r="T2802" s="30"/>
    </row>
    <row r="2803" spans="2:20" s="31" customFormat="1" ht="15" hidden="1" customHeight="1" x14ac:dyDescent="0.25">
      <c r="B2803" s="89">
        <v>44088.083333333336</v>
      </c>
      <c r="C2803" s="92" t="s">
        <v>2644</v>
      </c>
      <c r="D2803" s="23"/>
      <c r="E2803" s="91">
        <v>4160000</v>
      </c>
      <c r="F2803" s="93"/>
      <c r="G2803" s="93">
        <f t="shared" si="540"/>
        <v>4160000</v>
      </c>
      <c r="H2803" s="94"/>
      <c r="I2803" s="94"/>
      <c r="J2803" s="94">
        <v>35604.44</v>
      </c>
      <c r="K2803" s="25">
        <f t="shared" si="541"/>
        <v>4124395.56</v>
      </c>
      <c r="L2803" s="95">
        <f t="shared" si="542"/>
        <v>16640000</v>
      </c>
      <c r="M2803" s="96"/>
      <c r="N2803" s="96"/>
      <c r="O2803" s="130"/>
      <c r="P2803" s="126">
        <v>44952688</v>
      </c>
      <c r="Q2803" s="127">
        <v>44044</v>
      </c>
      <c r="R2803" s="29">
        <v>208000</v>
      </c>
      <c r="S2803" s="29">
        <v>266300</v>
      </c>
      <c r="T2803" s="30"/>
    </row>
    <row r="2804" spans="2:20" s="31" customFormat="1" ht="15" hidden="1" customHeight="1" x14ac:dyDescent="0.25">
      <c r="B2804" s="89">
        <v>44113.083333333336</v>
      </c>
      <c r="C2804" s="92" t="s">
        <v>2645</v>
      </c>
      <c r="D2804" s="23"/>
      <c r="E2804" s="91">
        <v>4160000</v>
      </c>
      <c r="F2804" s="93"/>
      <c r="G2804" s="93">
        <f t="shared" si="540"/>
        <v>4160000</v>
      </c>
      <c r="H2804" s="94"/>
      <c r="I2804" s="94"/>
      <c r="J2804" s="94">
        <v>35604.44</v>
      </c>
      <c r="K2804" s="25">
        <f t="shared" si="541"/>
        <v>4124395.56</v>
      </c>
      <c r="L2804" s="95">
        <f t="shared" si="542"/>
        <v>12480000</v>
      </c>
      <c r="M2804" s="96"/>
      <c r="N2804" s="96"/>
      <c r="O2804" s="130"/>
      <c r="P2804" s="126">
        <v>45419435</v>
      </c>
      <c r="Q2804" s="127">
        <v>44075</v>
      </c>
      <c r="R2804" s="29">
        <v>208000</v>
      </c>
      <c r="S2804" s="29">
        <v>266300</v>
      </c>
      <c r="T2804" s="30"/>
    </row>
    <row r="2805" spans="2:20" s="31" customFormat="1" ht="15" hidden="1" customHeight="1" x14ac:dyDescent="0.25">
      <c r="B2805" s="89">
        <v>44147.125</v>
      </c>
      <c r="C2805" s="92" t="s">
        <v>2646</v>
      </c>
      <c r="D2805" s="23"/>
      <c r="E2805" s="91">
        <v>4160000</v>
      </c>
      <c r="F2805" s="93"/>
      <c r="G2805" s="93">
        <f t="shared" si="540"/>
        <v>4160000</v>
      </c>
      <c r="H2805" s="94"/>
      <c r="I2805" s="94"/>
      <c r="J2805" s="94">
        <v>35604.44</v>
      </c>
      <c r="K2805" s="25">
        <f t="shared" si="541"/>
        <v>4124395.56</v>
      </c>
      <c r="L2805" s="95">
        <f t="shared" si="542"/>
        <v>8320000</v>
      </c>
      <c r="M2805" s="96"/>
      <c r="N2805" s="96"/>
      <c r="O2805" s="130"/>
      <c r="P2805" s="126">
        <v>45974674</v>
      </c>
      <c r="Q2805" s="127">
        <v>44105</v>
      </c>
      <c r="R2805" s="29">
        <v>208000</v>
      </c>
      <c r="S2805" s="29">
        <v>266300</v>
      </c>
      <c r="T2805" s="30"/>
    </row>
    <row r="2806" spans="2:20" s="31" customFormat="1" ht="15" hidden="1" customHeight="1" x14ac:dyDescent="0.25">
      <c r="B2806" s="89">
        <v>44189.125</v>
      </c>
      <c r="C2806" s="92" t="s">
        <v>2647</v>
      </c>
      <c r="D2806" s="23"/>
      <c r="E2806" s="91">
        <v>4160000</v>
      </c>
      <c r="F2806" s="93"/>
      <c r="G2806" s="93">
        <f t="shared" si="540"/>
        <v>4160000</v>
      </c>
      <c r="H2806" s="94"/>
      <c r="I2806" s="94"/>
      <c r="J2806" s="94">
        <v>35604.44</v>
      </c>
      <c r="K2806" s="25">
        <f t="shared" si="541"/>
        <v>4124395.56</v>
      </c>
      <c r="L2806" s="95">
        <f t="shared" si="542"/>
        <v>4160000</v>
      </c>
      <c r="M2806" s="96"/>
      <c r="N2806" s="96"/>
      <c r="O2806" s="130"/>
      <c r="P2806" s="126">
        <v>46662616</v>
      </c>
      <c r="Q2806" s="127">
        <v>44136</v>
      </c>
      <c r="R2806" s="29">
        <v>208000</v>
      </c>
      <c r="S2806" s="29">
        <v>266300</v>
      </c>
      <c r="T2806" s="30"/>
    </row>
    <row r="2807" spans="2:20" s="31" customFormat="1" ht="15" hidden="1" customHeight="1" x14ac:dyDescent="0.25">
      <c r="B2807" s="89">
        <v>44189.125</v>
      </c>
      <c r="C2807" s="92" t="s">
        <v>2648</v>
      </c>
      <c r="D2807" s="23"/>
      <c r="E2807" s="91">
        <v>4160000</v>
      </c>
      <c r="F2807" s="93"/>
      <c r="G2807" s="93">
        <f t="shared" si="540"/>
        <v>4160000</v>
      </c>
      <c r="H2807" s="94"/>
      <c r="I2807" s="94"/>
      <c r="J2807" s="94">
        <v>35604.44</v>
      </c>
      <c r="K2807" s="25">
        <f t="shared" si="541"/>
        <v>4124395.56</v>
      </c>
      <c r="L2807" s="95">
        <f t="shared" si="542"/>
        <v>0</v>
      </c>
      <c r="M2807" s="96"/>
      <c r="N2807" s="96"/>
      <c r="O2807" s="130"/>
      <c r="P2807" s="126">
        <v>47342318</v>
      </c>
      <c r="Q2807" s="127">
        <v>44166</v>
      </c>
      <c r="R2807" s="29">
        <v>208000</v>
      </c>
      <c r="S2807" s="29">
        <v>266300</v>
      </c>
      <c r="T2807" s="30"/>
    </row>
    <row r="2808" spans="2:20" s="31" customFormat="1" ht="15.6" hidden="1" customHeight="1" x14ac:dyDescent="0.25">
      <c r="B2808" s="139" t="s">
        <v>2649</v>
      </c>
      <c r="C2808" s="140"/>
      <c r="D2808" s="141">
        <v>22689334</v>
      </c>
      <c r="E2808" s="141">
        <f>+D2808</f>
        <v>22689334</v>
      </c>
      <c r="F2808" s="141"/>
      <c r="G2808" s="141"/>
      <c r="H2808" s="141"/>
      <c r="I2808" s="141"/>
      <c r="J2808" s="141"/>
      <c r="K2808" s="141"/>
      <c r="L2808" s="141">
        <f>+D2808</f>
        <v>22689334</v>
      </c>
      <c r="M2808" s="142"/>
      <c r="N2808" s="142"/>
      <c r="P2808" s="126"/>
      <c r="Q2808" s="126"/>
      <c r="R2808" s="29"/>
      <c r="S2808" s="29"/>
      <c r="T2808" s="30"/>
    </row>
    <row r="2809" spans="2:20" s="31" customFormat="1" ht="15" hidden="1" customHeight="1" x14ac:dyDescent="0.25">
      <c r="B2809" s="89">
        <v>44055.083333333336</v>
      </c>
      <c r="C2809" s="92" t="s">
        <v>2650</v>
      </c>
      <c r="D2809" s="23"/>
      <c r="E2809" s="91">
        <v>3640000</v>
      </c>
      <c r="F2809" s="93"/>
      <c r="G2809" s="93">
        <f>+E2809</f>
        <v>3640000</v>
      </c>
      <c r="H2809" s="94"/>
      <c r="I2809" s="94"/>
      <c r="J2809" s="94">
        <v>31153.89</v>
      </c>
      <c r="K2809" s="25">
        <f>+G2809-H2809-I2809-J2809</f>
        <v>3608846.11</v>
      </c>
      <c r="L2809" s="95">
        <f>+L2808-G2809</f>
        <v>19049334</v>
      </c>
      <c r="M2809" s="96"/>
      <c r="N2809" s="96"/>
      <c r="O2809" s="130">
        <f>+L2812-'[1]ANEXO 7 - PPTO VIG 2020'!T55</f>
        <v>0</v>
      </c>
      <c r="P2809" s="126">
        <v>44261281</v>
      </c>
      <c r="Q2809" s="127">
        <v>44013</v>
      </c>
      <c r="R2809" s="29">
        <v>182000</v>
      </c>
      <c r="S2809" s="29">
        <v>233000</v>
      </c>
      <c r="T2809" s="30"/>
    </row>
    <row r="2810" spans="2:20" s="31" customFormat="1" ht="15" hidden="1" customHeight="1" x14ac:dyDescent="0.25">
      <c r="B2810" s="89">
        <v>44076.083333333336</v>
      </c>
      <c r="C2810" s="92" t="s">
        <v>2651</v>
      </c>
      <c r="D2810" s="23"/>
      <c r="E2810" s="91">
        <v>3640000</v>
      </c>
      <c r="F2810" s="93"/>
      <c r="G2810" s="93">
        <f>+E2810</f>
        <v>3640000</v>
      </c>
      <c r="H2810" s="94"/>
      <c r="I2810" s="94"/>
      <c r="J2810" s="94">
        <v>31153.89</v>
      </c>
      <c r="K2810" s="25">
        <f>+G2810-H2810-I2810-J2810</f>
        <v>3608846.11</v>
      </c>
      <c r="L2810" s="95">
        <f>+L2809-G2810</f>
        <v>15409334</v>
      </c>
      <c r="M2810" s="96"/>
      <c r="N2810" s="96"/>
      <c r="O2810" s="130"/>
      <c r="P2810" s="126">
        <v>44897080</v>
      </c>
      <c r="Q2810" s="127">
        <v>44044</v>
      </c>
      <c r="R2810" s="29">
        <v>182000</v>
      </c>
      <c r="S2810" s="29">
        <v>233000</v>
      </c>
      <c r="T2810" s="30"/>
    </row>
    <row r="2811" spans="2:20" s="31" customFormat="1" ht="15" hidden="1" customHeight="1" x14ac:dyDescent="0.25">
      <c r="B2811" s="89">
        <v>44111.083333333336</v>
      </c>
      <c r="C2811" s="92" t="s">
        <v>2652</v>
      </c>
      <c r="D2811" s="23"/>
      <c r="E2811" s="91">
        <v>3640000</v>
      </c>
      <c r="F2811" s="93"/>
      <c r="G2811" s="93">
        <f>+E2811</f>
        <v>3640000</v>
      </c>
      <c r="H2811" s="94"/>
      <c r="I2811" s="94"/>
      <c r="J2811" s="94">
        <v>31153.89</v>
      </c>
      <c r="K2811" s="25">
        <f>+G2811-H2811-I2811-J2811</f>
        <v>3608846.11</v>
      </c>
      <c r="L2811" s="95">
        <f>+L2810-G2811</f>
        <v>11769334</v>
      </c>
      <c r="M2811" s="96"/>
      <c r="N2811" s="96"/>
      <c r="O2811" s="130"/>
      <c r="P2811" s="126">
        <v>45564262</v>
      </c>
      <c r="Q2811" s="127">
        <v>44075</v>
      </c>
      <c r="R2811" s="29">
        <v>182000</v>
      </c>
      <c r="S2811" s="29">
        <v>233000</v>
      </c>
      <c r="T2811" s="30"/>
    </row>
    <row r="2812" spans="2:20" s="31" customFormat="1" ht="15" hidden="1" customHeight="1" x14ac:dyDescent="0.25">
      <c r="B2812" s="89"/>
      <c r="C2812" s="92" t="s">
        <v>2653</v>
      </c>
      <c r="D2812" s="23"/>
      <c r="E2812" s="91">
        <v>11769334</v>
      </c>
      <c r="F2812" s="93"/>
      <c r="G2812" s="93">
        <f>+E2812</f>
        <v>11769334</v>
      </c>
      <c r="H2812" s="94"/>
      <c r="I2812" s="94"/>
      <c r="J2812" s="94"/>
      <c r="K2812" s="25">
        <f>+G2812-H2812-I2812-J2812</f>
        <v>11769334</v>
      </c>
      <c r="L2812" s="95">
        <f>+L2811-G2812</f>
        <v>0</v>
      </c>
      <c r="M2812" s="96"/>
      <c r="N2812" s="96"/>
      <c r="O2812" s="130"/>
      <c r="P2812" s="126"/>
      <c r="Q2812" s="127"/>
      <c r="R2812" s="29"/>
      <c r="S2812" s="29"/>
      <c r="T2812" s="30"/>
    </row>
    <row r="2813" spans="2:20" s="31" customFormat="1" ht="15.6" hidden="1" customHeight="1" x14ac:dyDescent="0.25">
      <c r="B2813" s="139" t="s">
        <v>2654</v>
      </c>
      <c r="C2813" s="140"/>
      <c r="D2813" s="141">
        <v>31200000</v>
      </c>
      <c r="E2813" s="141">
        <f>+D2813</f>
        <v>31200000</v>
      </c>
      <c r="F2813" s="141"/>
      <c r="G2813" s="141"/>
      <c r="H2813" s="141"/>
      <c r="I2813" s="141"/>
      <c r="J2813" s="141"/>
      <c r="K2813" s="141"/>
      <c r="L2813" s="141">
        <f>+D2813</f>
        <v>31200000</v>
      </c>
      <c r="M2813" s="142"/>
      <c r="N2813" s="142"/>
      <c r="P2813" s="126"/>
      <c r="Q2813" s="126"/>
      <c r="R2813" s="29"/>
      <c r="S2813" s="29"/>
      <c r="T2813" s="30"/>
    </row>
    <row r="2814" spans="2:20" s="31" customFormat="1" ht="15" hidden="1" customHeight="1" x14ac:dyDescent="0.25">
      <c r="B2814" s="89">
        <v>44078.083333333336</v>
      </c>
      <c r="C2814" s="92" t="s">
        <v>2655</v>
      </c>
      <c r="D2814" s="23"/>
      <c r="E2814" s="91">
        <v>208000</v>
      </c>
      <c r="F2814" s="93"/>
      <c r="G2814" s="93">
        <f>+E2814</f>
        <v>208000</v>
      </c>
      <c r="H2814" s="94"/>
      <c r="I2814" s="94"/>
      <c r="J2814" s="94">
        <v>1780.22</v>
      </c>
      <c r="K2814" s="25">
        <f t="shared" ref="K2814:K2819" si="543">+G2814-H2814-I2814-J2814</f>
        <v>206219.78</v>
      </c>
      <c r="L2814" s="95">
        <f t="shared" ref="L2814:L2819" si="544">+L2813-G2814</f>
        <v>30992000</v>
      </c>
      <c r="M2814" s="96"/>
      <c r="N2814" s="96"/>
      <c r="O2814" s="130">
        <f>+L2819-'[1]ANEXO 7 - PPTO VIG 2020'!T88</f>
        <v>0</v>
      </c>
      <c r="P2814" s="126">
        <v>44975080</v>
      </c>
      <c r="Q2814" s="127">
        <v>44013</v>
      </c>
      <c r="R2814" s="29">
        <v>109800</v>
      </c>
      <c r="S2814" s="29">
        <v>140500</v>
      </c>
      <c r="T2814" s="30"/>
    </row>
    <row r="2815" spans="2:20" s="31" customFormat="1" ht="15" hidden="1" customHeight="1" x14ac:dyDescent="0.25">
      <c r="B2815" s="89">
        <v>44077.083333333336</v>
      </c>
      <c r="C2815" s="92" t="s">
        <v>2656</v>
      </c>
      <c r="D2815" s="23"/>
      <c r="E2815" s="91">
        <v>6240000</v>
      </c>
      <c r="F2815" s="93"/>
      <c r="G2815" s="93">
        <f>+E2815</f>
        <v>6240000</v>
      </c>
      <c r="H2815" s="94"/>
      <c r="I2815" s="94">
        <v>54338.1</v>
      </c>
      <c r="J2815" s="94">
        <v>53406.66</v>
      </c>
      <c r="K2815" s="25">
        <f t="shared" si="543"/>
        <v>6132255.2400000002</v>
      </c>
      <c r="L2815" s="95">
        <f t="shared" si="544"/>
        <v>24752000</v>
      </c>
      <c r="M2815" s="96"/>
      <c r="N2815" s="96"/>
      <c r="O2815" s="130"/>
      <c r="P2815" s="126">
        <v>44975404</v>
      </c>
      <c r="Q2815" s="127">
        <v>44044</v>
      </c>
      <c r="R2815" s="29">
        <v>312000</v>
      </c>
      <c r="S2815" s="29">
        <v>399400</v>
      </c>
      <c r="T2815" s="30"/>
    </row>
    <row r="2816" spans="2:20" s="31" customFormat="1" ht="15" hidden="1" customHeight="1" x14ac:dyDescent="0.25">
      <c r="B2816" s="89">
        <v>44113.083333333336</v>
      </c>
      <c r="C2816" s="92" t="s">
        <v>2657</v>
      </c>
      <c r="D2816" s="23"/>
      <c r="E2816" s="91">
        <v>6240000</v>
      </c>
      <c r="F2816" s="93"/>
      <c r="G2816" s="93">
        <f>+E2816</f>
        <v>6240000</v>
      </c>
      <c r="H2816" s="94"/>
      <c r="I2816" s="94">
        <v>54338.1</v>
      </c>
      <c r="J2816" s="94">
        <v>53406.66</v>
      </c>
      <c r="K2816" s="25">
        <f t="shared" si="543"/>
        <v>6132255.2400000002</v>
      </c>
      <c r="L2816" s="95">
        <f t="shared" si="544"/>
        <v>18512000</v>
      </c>
      <c r="M2816" s="96"/>
      <c r="N2816" s="96"/>
      <c r="O2816" s="130"/>
      <c r="P2816" s="126">
        <v>45440219</v>
      </c>
      <c r="Q2816" s="127">
        <v>44075</v>
      </c>
      <c r="R2816" s="29">
        <v>312000</v>
      </c>
      <c r="S2816" s="29">
        <v>399400</v>
      </c>
      <c r="T2816" s="30"/>
    </row>
    <row r="2817" spans="2:20" s="31" customFormat="1" ht="15" hidden="1" customHeight="1" x14ac:dyDescent="0.25">
      <c r="B2817" s="89">
        <v>44141.125</v>
      </c>
      <c r="C2817" s="92" t="s">
        <v>2658</v>
      </c>
      <c r="D2817" s="23"/>
      <c r="E2817" s="91">
        <v>6240000</v>
      </c>
      <c r="F2817" s="93"/>
      <c r="G2817" s="93">
        <f>+E2817</f>
        <v>6240000</v>
      </c>
      <c r="H2817" s="94"/>
      <c r="I2817" s="94">
        <v>54338.1</v>
      </c>
      <c r="J2817" s="94">
        <v>53406.66</v>
      </c>
      <c r="K2817" s="25">
        <f t="shared" si="543"/>
        <v>6132255.2400000002</v>
      </c>
      <c r="L2817" s="95">
        <f t="shared" si="544"/>
        <v>12272000</v>
      </c>
      <c r="M2817" s="96"/>
      <c r="N2817" s="96"/>
      <c r="O2817" s="130"/>
      <c r="P2817" s="126">
        <v>46207802</v>
      </c>
      <c r="Q2817" s="127">
        <v>44105</v>
      </c>
      <c r="R2817" s="29">
        <v>312000</v>
      </c>
      <c r="S2817" s="29">
        <v>399400</v>
      </c>
      <c r="T2817" s="30"/>
    </row>
    <row r="2818" spans="2:20" s="31" customFormat="1" ht="15" hidden="1" customHeight="1" x14ac:dyDescent="0.25">
      <c r="B2818" s="89">
        <v>44176.125</v>
      </c>
      <c r="C2818" s="92" t="s">
        <v>2659</v>
      </c>
      <c r="D2818" s="23"/>
      <c r="E2818" s="91">
        <v>6240000</v>
      </c>
      <c r="F2818" s="93"/>
      <c r="G2818" s="93">
        <f>+E2818</f>
        <v>6240000</v>
      </c>
      <c r="H2818" s="94"/>
      <c r="I2818" s="94">
        <v>54338.1</v>
      </c>
      <c r="J2818" s="94">
        <v>53406.66</v>
      </c>
      <c r="K2818" s="25">
        <f t="shared" si="543"/>
        <v>6132255.2400000002</v>
      </c>
      <c r="L2818" s="95">
        <f t="shared" si="544"/>
        <v>6032000</v>
      </c>
      <c r="M2818" s="96"/>
      <c r="N2818" s="96"/>
      <c r="O2818" s="130"/>
      <c r="P2818" s="126">
        <v>46957975</v>
      </c>
      <c r="Q2818" s="127">
        <v>44136</v>
      </c>
      <c r="R2818" s="29">
        <v>312000</v>
      </c>
      <c r="S2818" s="29">
        <v>399400</v>
      </c>
      <c r="T2818" s="30"/>
    </row>
    <row r="2819" spans="2:20" s="31" customFormat="1" ht="15" hidden="1" customHeight="1" x14ac:dyDescent="0.25">
      <c r="B2819" s="89">
        <v>44188.125</v>
      </c>
      <c r="C2819" s="92" t="s">
        <v>2660</v>
      </c>
      <c r="D2819" s="23"/>
      <c r="E2819" s="91">
        <v>6240000</v>
      </c>
      <c r="F2819" s="93"/>
      <c r="G2819" s="93">
        <v>6032000</v>
      </c>
      <c r="H2819" s="94"/>
      <c r="I2819" s="94">
        <v>30670.55</v>
      </c>
      <c r="J2819" s="94">
        <v>51626.44</v>
      </c>
      <c r="K2819" s="25">
        <f t="shared" si="543"/>
        <v>5949703.0099999998</v>
      </c>
      <c r="L2819" s="95">
        <f t="shared" si="544"/>
        <v>0</v>
      </c>
      <c r="M2819" s="96"/>
      <c r="N2819" s="96"/>
      <c r="O2819" s="130"/>
      <c r="P2819" s="126">
        <v>47332992</v>
      </c>
      <c r="Q2819" s="127">
        <v>44166</v>
      </c>
      <c r="R2819" s="29">
        <v>375000</v>
      </c>
      <c r="S2819" s="29">
        <v>480000</v>
      </c>
      <c r="T2819" s="30"/>
    </row>
    <row r="2820" spans="2:20" s="31" customFormat="1" ht="15.6" hidden="1" customHeight="1" x14ac:dyDescent="0.25">
      <c r="B2820" s="139" t="s">
        <v>2661</v>
      </c>
      <c r="C2820" s="140"/>
      <c r="D2820" s="141">
        <v>31200000</v>
      </c>
      <c r="E2820" s="141">
        <f>+D2820</f>
        <v>31200000</v>
      </c>
      <c r="F2820" s="141"/>
      <c r="G2820" s="141"/>
      <c r="H2820" s="141"/>
      <c r="I2820" s="141"/>
      <c r="J2820" s="141"/>
      <c r="K2820" s="141"/>
      <c r="L2820" s="141">
        <f>+D2820</f>
        <v>31200000</v>
      </c>
      <c r="M2820" s="142"/>
      <c r="N2820" s="142"/>
      <c r="P2820" s="126"/>
      <c r="Q2820" s="126"/>
      <c r="R2820" s="29"/>
      <c r="S2820" s="29"/>
      <c r="T2820" s="30"/>
    </row>
    <row r="2821" spans="2:20" s="31" customFormat="1" ht="15" hidden="1" customHeight="1" x14ac:dyDescent="0.25">
      <c r="B2821" s="89">
        <v>44089.083333333336</v>
      </c>
      <c r="C2821" s="92" t="s">
        <v>2662</v>
      </c>
      <c r="D2821" s="23"/>
      <c r="E2821" s="91">
        <v>208000</v>
      </c>
      <c r="F2821" s="93"/>
      <c r="G2821" s="93">
        <f t="shared" ref="G2821:G2826" si="545">+E2821</f>
        <v>208000</v>
      </c>
      <c r="H2821" s="94"/>
      <c r="I2821" s="94"/>
      <c r="J2821" s="94">
        <v>1908.82</v>
      </c>
      <c r="K2821" s="25">
        <f t="shared" ref="K2821:K2826" si="546">+G2821-H2821-I2821-J2821</f>
        <v>206091.18</v>
      </c>
      <c r="L2821" s="95">
        <f t="shared" ref="L2821:L2826" si="547">+L2820-G2821</f>
        <v>30992000</v>
      </c>
      <c r="M2821" s="96"/>
      <c r="N2821" s="96"/>
      <c r="O2821" s="130">
        <f>+L2826-'[1]ANEXO 7 - PPTO VIG 2020'!T89</f>
        <v>0</v>
      </c>
      <c r="P2821" s="126">
        <v>44978087</v>
      </c>
      <c r="Q2821" s="127">
        <v>44013</v>
      </c>
      <c r="R2821" s="29">
        <v>10800</v>
      </c>
      <c r="S2821" s="29"/>
      <c r="T2821" s="30"/>
    </row>
    <row r="2822" spans="2:20" s="31" customFormat="1" ht="15" hidden="1" customHeight="1" x14ac:dyDescent="0.25">
      <c r="B2822" s="89">
        <v>44089.083333333336</v>
      </c>
      <c r="C2822" s="92" t="s">
        <v>2663</v>
      </c>
      <c r="D2822" s="23"/>
      <c r="E2822" s="91">
        <v>6240000</v>
      </c>
      <c r="F2822" s="93"/>
      <c r="G2822" s="93">
        <f t="shared" si="545"/>
        <v>6240000</v>
      </c>
      <c r="H2822" s="94"/>
      <c r="I2822" s="94">
        <v>111246.91</v>
      </c>
      <c r="J2822" s="94">
        <v>57264.480000000003</v>
      </c>
      <c r="K2822" s="25">
        <f t="shared" si="546"/>
        <v>6071488.6099999994</v>
      </c>
      <c r="L2822" s="95">
        <f t="shared" si="547"/>
        <v>24752000</v>
      </c>
      <c r="M2822" s="96"/>
      <c r="N2822" s="96"/>
      <c r="O2822" s="130"/>
      <c r="P2822" s="126">
        <v>44978090</v>
      </c>
      <c r="Q2822" s="127">
        <v>44044</v>
      </c>
      <c r="R2822" s="29">
        <v>312000</v>
      </c>
      <c r="S2822" s="29"/>
      <c r="T2822" s="30"/>
    </row>
    <row r="2823" spans="2:20" s="31" customFormat="1" ht="15" hidden="1" customHeight="1" x14ac:dyDescent="0.25">
      <c r="B2823" s="89">
        <v>44113.083333333336</v>
      </c>
      <c r="C2823" s="92" t="s">
        <v>2664</v>
      </c>
      <c r="D2823" s="23"/>
      <c r="E2823" s="91">
        <v>6240000</v>
      </c>
      <c r="F2823" s="93"/>
      <c r="G2823" s="93">
        <f t="shared" si="545"/>
        <v>6240000</v>
      </c>
      <c r="H2823" s="94"/>
      <c r="I2823" s="94">
        <v>111246.91</v>
      </c>
      <c r="J2823" s="94">
        <v>57264.480000000003</v>
      </c>
      <c r="K2823" s="25">
        <f t="shared" si="546"/>
        <v>6071488.6099999994</v>
      </c>
      <c r="L2823" s="95">
        <f t="shared" si="547"/>
        <v>18512000</v>
      </c>
      <c r="M2823" s="96"/>
      <c r="N2823" s="96"/>
      <c r="O2823" s="130"/>
      <c r="P2823" s="126">
        <v>756796447</v>
      </c>
      <c r="Q2823" s="127">
        <v>44075</v>
      </c>
      <c r="R2823" s="29">
        <v>312000</v>
      </c>
      <c r="S2823" s="29"/>
      <c r="T2823" s="30"/>
    </row>
    <row r="2824" spans="2:20" s="31" customFormat="1" ht="15" hidden="1" customHeight="1" x14ac:dyDescent="0.25">
      <c r="B2824" s="89">
        <v>44147.125</v>
      </c>
      <c r="C2824" s="92" t="s">
        <v>2665</v>
      </c>
      <c r="D2824" s="23"/>
      <c r="E2824" s="91">
        <v>6240000</v>
      </c>
      <c r="F2824" s="93"/>
      <c r="G2824" s="93">
        <f t="shared" si="545"/>
        <v>6240000</v>
      </c>
      <c r="H2824" s="94"/>
      <c r="I2824" s="94">
        <v>111246.91</v>
      </c>
      <c r="J2824" s="94">
        <v>57264.480000000003</v>
      </c>
      <c r="K2824" s="25">
        <f t="shared" si="546"/>
        <v>6071488.6099999994</v>
      </c>
      <c r="L2824" s="95">
        <f t="shared" si="547"/>
        <v>12272000</v>
      </c>
      <c r="M2824" s="96"/>
      <c r="N2824" s="96"/>
      <c r="O2824" s="130"/>
      <c r="P2824" s="126">
        <v>788664845</v>
      </c>
      <c r="Q2824" s="127">
        <v>44105</v>
      </c>
      <c r="R2824" s="29">
        <v>312000</v>
      </c>
      <c r="S2824" s="29"/>
      <c r="T2824" s="30"/>
    </row>
    <row r="2825" spans="2:20" s="31" customFormat="1" ht="15" hidden="1" customHeight="1" x14ac:dyDescent="0.25">
      <c r="B2825" s="89">
        <v>44181.125</v>
      </c>
      <c r="C2825" s="92" t="s">
        <v>2666</v>
      </c>
      <c r="D2825" s="23"/>
      <c r="E2825" s="91">
        <v>6240000</v>
      </c>
      <c r="F2825" s="93"/>
      <c r="G2825" s="93">
        <f t="shared" si="545"/>
        <v>6240000</v>
      </c>
      <c r="H2825" s="94"/>
      <c r="I2825" s="94">
        <v>111246.91</v>
      </c>
      <c r="J2825" s="94">
        <v>57264.480000000003</v>
      </c>
      <c r="K2825" s="25">
        <f t="shared" si="546"/>
        <v>6071488.6099999994</v>
      </c>
      <c r="L2825" s="95">
        <f t="shared" si="547"/>
        <v>6032000</v>
      </c>
      <c r="M2825" s="96"/>
      <c r="N2825" s="96"/>
      <c r="O2825" s="130"/>
      <c r="P2825" s="126">
        <v>78866484393</v>
      </c>
      <c r="Q2825" s="127">
        <v>44136</v>
      </c>
      <c r="R2825" s="29">
        <v>312000</v>
      </c>
      <c r="S2825" s="29"/>
      <c r="T2825" s="30"/>
    </row>
    <row r="2826" spans="2:20" s="31" customFormat="1" ht="15" hidden="1" customHeight="1" x14ac:dyDescent="0.25">
      <c r="B2826" s="89">
        <v>44189.125</v>
      </c>
      <c r="C2826" s="92" t="s">
        <v>2667</v>
      </c>
      <c r="D2826" s="23"/>
      <c r="E2826" s="91">
        <v>6032000</v>
      </c>
      <c r="F2826" s="93"/>
      <c r="G2826" s="93">
        <f t="shared" si="545"/>
        <v>6032000</v>
      </c>
      <c r="H2826" s="94"/>
      <c r="I2826" s="94">
        <v>86052.9</v>
      </c>
      <c r="J2826" s="94">
        <v>55355.66</v>
      </c>
      <c r="K2826" s="25">
        <f t="shared" si="546"/>
        <v>5890591.4399999995</v>
      </c>
      <c r="L2826" s="95">
        <f t="shared" si="547"/>
        <v>0</v>
      </c>
      <c r="M2826" s="96"/>
      <c r="N2826" s="96"/>
      <c r="O2826" s="130"/>
      <c r="P2826" s="126">
        <v>47339213</v>
      </c>
      <c r="Q2826" s="127">
        <v>44166</v>
      </c>
      <c r="R2826" s="29">
        <v>312000</v>
      </c>
      <c r="S2826" s="29"/>
      <c r="T2826" s="30"/>
    </row>
    <row r="2827" spans="2:20" s="31" customFormat="1" ht="16.149999999999999" hidden="1" customHeight="1" x14ac:dyDescent="0.25">
      <c r="B2827" s="139" t="s">
        <v>2668</v>
      </c>
      <c r="C2827" s="140"/>
      <c r="D2827" s="141">
        <v>58968000</v>
      </c>
      <c r="E2827" s="141">
        <f>+D2827</f>
        <v>58968000</v>
      </c>
      <c r="F2827" s="141"/>
      <c r="G2827" s="141"/>
      <c r="H2827" s="141"/>
      <c r="I2827" s="141"/>
      <c r="J2827" s="141"/>
      <c r="K2827" s="141"/>
      <c r="L2827" s="141">
        <f>+D2827</f>
        <v>58968000</v>
      </c>
      <c r="M2827" s="142"/>
      <c r="N2827" s="142"/>
      <c r="P2827" s="126"/>
      <c r="Q2827" s="126"/>
      <c r="R2827" s="29"/>
      <c r="S2827" s="29"/>
      <c r="T2827" s="30"/>
    </row>
    <row r="2828" spans="2:20" s="31" customFormat="1" ht="15" hidden="1" customHeight="1" x14ac:dyDescent="0.25">
      <c r="B2828" s="89">
        <v>44088.083333333336</v>
      </c>
      <c r="C2828" s="92" t="s">
        <v>2669</v>
      </c>
      <c r="D2828" s="23"/>
      <c r="E2828" s="91">
        <v>485333</v>
      </c>
      <c r="F2828" s="93"/>
      <c r="G2828" s="93">
        <f t="shared" ref="G2828:G2837" si="548">+E2828</f>
        <v>485333</v>
      </c>
      <c r="H2828" s="94"/>
      <c r="I2828" s="94"/>
      <c r="J2828" s="94">
        <v>4153.8500000000004</v>
      </c>
      <c r="K2828" s="25">
        <f t="shared" ref="K2828:K2837" si="549">+G2828-H2828-I2828-J2828</f>
        <v>481179.15</v>
      </c>
      <c r="L2828" s="95">
        <f t="shared" ref="L2828:L2837" si="550">+L2827-G2828</f>
        <v>58482667</v>
      </c>
      <c r="M2828" s="96"/>
      <c r="N2828" s="96"/>
      <c r="O2828" s="130">
        <f>+L2837-'[1]ANEXO 7 - PPTO VIG 2020'!T70</f>
        <v>0</v>
      </c>
      <c r="P2828" s="126">
        <v>9409812942</v>
      </c>
      <c r="Q2828" s="127">
        <v>43922</v>
      </c>
      <c r="R2828" s="29">
        <v>64000</v>
      </c>
      <c r="S2828" s="29">
        <v>82000</v>
      </c>
      <c r="T2828" s="30"/>
    </row>
    <row r="2829" spans="2:20" s="31" customFormat="1" ht="15" hidden="1" customHeight="1" x14ac:dyDescent="0.25">
      <c r="B2829" s="89">
        <v>44088.083333333336</v>
      </c>
      <c r="C2829" s="92" t="s">
        <v>2670</v>
      </c>
      <c r="D2829" s="23"/>
      <c r="E2829" s="91">
        <v>7280000</v>
      </c>
      <c r="F2829" s="93"/>
      <c r="G2829" s="93">
        <f t="shared" si="548"/>
        <v>7280000</v>
      </c>
      <c r="H2829" s="94"/>
      <c r="I2829" s="94">
        <v>170509.78</v>
      </c>
      <c r="J2829" s="94">
        <v>62307.77</v>
      </c>
      <c r="K2829" s="25">
        <f t="shared" si="549"/>
        <v>7047182.4500000002</v>
      </c>
      <c r="L2829" s="95">
        <f t="shared" si="550"/>
        <v>51202667</v>
      </c>
      <c r="M2829" s="96"/>
      <c r="N2829" s="96"/>
      <c r="O2829" s="130"/>
      <c r="P2829" s="143">
        <v>9405210382</v>
      </c>
      <c r="Q2829" s="144">
        <v>43922</v>
      </c>
      <c r="R2829" s="145">
        <v>300000</v>
      </c>
      <c r="S2829" s="145">
        <v>384000</v>
      </c>
      <c r="T2829" s="30"/>
    </row>
    <row r="2830" spans="2:20" s="31" customFormat="1" ht="15" hidden="1" customHeight="1" x14ac:dyDescent="0.25">
      <c r="B2830" s="89">
        <v>44088.083333333336</v>
      </c>
      <c r="C2830" s="92" t="s">
        <v>2671</v>
      </c>
      <c r="D2830" s="23"/>
      <c r="E2830" s="91">
        <v>7280000</v>
      </c>
      <c r="F2830" s="93"/>
      <c r="G2830" s="93">
        <f t="shared" si="548"/>
        <v>7280000</v>
      </c>
      <c r="H2830" s="94"/>
      <c r="I2830" s="94">
        <v>168728.54</v>
      </c>
      <c r="J2830" s="94">
        <v>62307.77</v>
      </c>
      <c r="K2830" s="25">
        <f t="shared" si="549"/>
        <v>7048963.6900000004</v>
      </c>
      <c r="L2830" s="95">
        <f t="shared" si="550"/>
        <v>43922667</v>
      </c>
      <c r="M2830" s="96"/>
      <c r="N2830" s="96"/>
      <c r="O2830" s="130"/>
      <c r="P2830" s="126">
        <v>9407842920</v>
      </c>
      <c r="Q2830" s="127">
        <v>43952</v>
      </c>
      <c r="R2830" s="29">
        <v>664000</v>
      </c>
      <c r="S2830" s="29">
        <v>903200</v>
      </c>
      <c r="T2830" s="30">
        <f>58968000*40%</f>
        <v>23587200</v>
      </c>
    </row>
    <row r="2831" spans="2:20" s="31" customFormat="1" ht="15" hidden="1" customHeight="1" x14ac:dyDescent="0.25">
      <c r="B2831" s="89">
        <v>44130.083333333336</v>
      </c>
      <c r="C2831" s="92" t="s">
        <v>2672</v>
      </c>
      <c r="D2831" s="23"/>
      <c r="E2831" s="91">
        <v>7280000</v>
      </c>
      <c r="F2831" s="93"/>
      <c r="G2831" s="93">
        <f t="shared" si="548"/>
        <v>7280000</v>
      </c>
      <c r="H2831" s="94"/>
      <c r="I2831" s="94">
        <v>170509.78</v>
      </c>
      <c r="J2831" s="94">
        <v>62307.77</v>
      </c>
      <c r="K2831" s="25">
        <f t="shared" si="549"/>
        <v>7047182.4500000002</v>
      </c>
      <c r="L2831" s="95">
        <f t="shared" si="550"/>
        <v>36642667</v>
      </c>
      <c r="M2831" s="96"/>
      <c r="N2831" s="96"/>
      <c r="O2831" s="130"/>
      <c r="P2831" s="126">
        <v>9409813903</v>
      </c>
      <c r="Q2831" s="127">
        <v>44013</v>
      </c>
      <c r="R2831" s="29">
        <v>364000</v>
      </c>
      <c r="S2831" s="29">
        <v>466000</v>
      </c>
      <c r="T2831" s="30">
        <f>+T2830*12.5%</f>
        <v>2948400</v>
      </c>
    </row>
    <row r="2832" spans="2:20" s="31" customFormat="1" ht="15" hidden="1" customHeight="1" x14ac:dyDescent="0.25">
      <c r="B2832" s="89">
        <v>44130.083333333336</v>
      </c>
      <c r="C2832" s="92" t="s">
        <v>2673</v>
      </c>
      <c r="D2832" s="23"/>
      <c r="E2832" s="91">
        <v>7280000</v>
      </c>
      <c r="F2832" s="93"/>
      <c r="G2832" s="93">
        <f t="shared" si="548"/>
        <v>7280000</v>
      </c>
      <c r="H2832" s="94"/>
      <c r="I2832" s="94">
        <v>170509.78</v>
      </c>
      <c r="J2832" s="94">
        <v>62307.77</v>
      </c>
      <c r="K2832" s="25">
        <f t="shared" si="549"/>
        <v>7047182.4500000002</v>
      </c>
      <c r="L2832" s="95">
        <f t="shared" si="550"/>
        <v>29362667</v>
      </c>
      <c r="M2832" s="96"/>
      <c r="N2832" s="96"/>
      <c r="O2832" s="130"/>
      <c r="P2832" s="126">
        <v>9411200249</v>
      </c>
      <c r="Q2832" s="127">
        <v>44044</v>
      </c>
      <c r="R2832" s="29">
        <v>364000</v>
      </c>
      <c r="S2832" s="29">
        <v>466000</v>
      </c>
      <c r="T2832" s="30">
        <f>+T2830*16%</f>
        <v>3773952</v>
      </c>
    </row>
    <row r="2833" spans="2:21" s="31" customFormat="1" ht="15" hidden="1" customHeight="1" x14ac:dyDescent="0.25">
      <c r="B2833" s="89">
        <v>44154.125</v>
      </c>
      <c r="C2833" s="92" t="s">
        <v>2674</v>
      </c>
      <c r="D2833" s="23"/>
      <c r="E2833" s="91">
        <v>7280000</v>
      </c>
      <c r="F2833" s="93"/>
      <c r="G2833" s="93">
        <f t="shared" si="548"/>
        <v>7280000</v>
      </c>
      <c r="H2833" s="94"/>
      <c r="I2833" s="94">
        <v>170509.78</v>
      </c>
      <c r="J2833" s="94">
        <v>62307.77</v>
      </c>
      <c r="K2833" s="25">
        <f t="shared" si="549"/>
        <v>7047182.4500000002</v>
      </c>
      <c r="L2833" s="95">
        <f t="shared" si="550"/>
        <v>22082667</v>
      </c>
      <c r="M2833" s="96"/>
      <c r="N2833" s="96"/>
      <c r="O2833" s="130"/>
      <c r="P2833" s="126">
        <v>9411200535</v>
      </c>
      <c r="Q2833" s="127">
        <v>44075</v>
      </c>
      <c r="R2833" s="29">
        <v>364000</v>
      </c>
      <c r="S2833" s="29">
        <v>466000</v>
      </c>
      <c r="T2833" s="30"/>
    </row>
    <row r="2834" spans="2:21" s="31" customFormat="1" ht="15" hidden="1" customHeight="1" x14ac:dyDescent="0.25">
      <c r="B2834" s="89">
        <v>44154.125</v>
      </c>
      <c r="C2834" s="92" t="s">
        <v>2675</v>
      </c>
      <c r="D2834" s="23"/>
      <c r="E2834" s="91">
        <v>7280000</v>
      </c>
      <c r="F2834" s="93"/>
      <c r="G2834" s="93">
        <f t="shared" si="548"/>
        <v>7280000</v>
      </c>
      <c r="H2834" s="94"/>
      <c r="I2834" s="94">
        <v>170509.78</v>
      </c>
      <c r="J2834" s="94">
        <v>62307.77</v>
      </c>
      <c r="K2834" s="25">
        <f t="shared" si="549"/>
        <v>7047182.4500000002</v>
      </c>
      <c r="L2834" s="95">
        <f t="shared" si="550"/>
        <v>14802667</v>
      </c>
      <c r="M2834" s="96"/>
      <c r="N2834" s="96"/>
      <c r="O2834" s="130"/>
      <c r="P2834" s="126">
        <v>9412647737</v>
      </c>
      <c r="Q2834" s="127">
        <v>44105</v>
      </c>
      <c r="R2834" s="29">
        <v>364000</v>
      </c>
      <c r="S2834" s="29">
        <v>466000</v>
      </c>
      <c r="T2834" s="30"/>
    </row>
    <row r="2835" spans="2:21" s="31" customFormat="1" ht="15" hidden="1" customHeight="1" x14ac:dyDescent="0.25">
      <c r="B2835" s="89">
        <v>44179.125</v>
      </c>
      <c r="C2835" s="92" t="s">
        <v>2676</v>
      </c>
      <c r="D2835" s="23"/>
      <c r="E2835" s="91">
        <v>7280000</v>
      </c>
      <c r="F2835" s="93"/>
      <c r="G2835" s="93">
        <f t="shared" si="548"/>
        <v>7280000</v>
      </c>
      <c r="H2835" s="94"/>
      <c r="I2835" s="94">
        <v>170509.78</v>
      </c>
      <c r="J2835" s="94">
        <v>62307.77</v>
      </c>
      <c r="K2835" s="25">
        <f t="shared" si="549"/>
        <v>7047182.4500000002</v>
      </c>
      <c r="L2835" s="95">
        <f t="shared" si="550"/>
        <v>7522667</v>
      </c>
      <c r="M2835" s="96"/>
      <c r="N2835" s="96"/>
      <c r="O2835" s="130"/>
      <c r="P2835" s="126">
        <v>9413431397</v>
      </c>
      <c r="Q2835" s="127">
        <v>44136</v>
      </c>
      <c r="R2835" s="29">
        <v>364000</v>
      </c>
      <c r="S2835" s="29">
        <v>466000</v>
      </c>
      <c r="T2835" s="30"/>
    </row>
    <row r="2836" spans="2:21" s="31" customFormat="1" ht="15" hidden="1" customHeight="1" x14ac:dyDescent="0.25">
      <c r="B2836" s="89">
        <v>44186.125</v>
      </c>
      <c r="C2836" s="92" t="s">
        <v>2677</v>
      </c>
      <c r="D2836" s="23"/>
      <c r="E2836" s="91">
        <v>7280000</v>
      </c>
      <c r="F2836" s="93"/>
      <c r="G2836" s="93">
        <f t="shared" si="548"/>
        <v>7280000</v>
      </c>
      <c r="H2836" s="94"/>
      <c r="I2836" s="94">
        <v>170509.78</v>
      </c>
      <c r="J2836" s="94">
        <v>62307.77</v>
      </c>
      <c r="K2836" s="25">
        <f t="shared" si="549"/>
        <v>7047182.4500000002</v>
      </c>
      <c r="L2836" s="95">
        <f t="shared" si="550"/>
        <v>242667</v>
      </c>
      <c r="M2836" s="96"/>
      <c r="N2836" s="96"/>
      <c r="O2836" s="130"/>
      <c r="P2836" s="126">
        <v>9413893855</v>
      </c>
      <c r="Q2836" s="127">
        <v>44166</v>
      </c>
      <c r="R2836" s="29">
        <v>364000</v>
      </c>
      <c r="S2836" s="29">
        <v>466000</v>
      </c>
      <c r="T2836" s="30"/>
    </row>
    <row r="2837" spans="2:21" s="31" customFormat="1" ht="15" hidden="1" customHeight="1" x14ac:dyDescent="0.25">
      <c r="B2837" s="89"/>
      <c r="C2837" s="92" t="s">
        <v>2047</v>
      </c>
      <c r="D2837" s="23"/>
      <c r="E2837" s="91">
        <v>242667</v>
      </c>
      <c r="F2837" s="93"/>
      <c r="G2837" s="93">
        <f t="shared" si="548"/>
        <v>242667</v>
      </c>
      <c r="H2837" s="94"/>
      <c r="I2837" s="94"/>
      <c r="J2837" s="94"/>
      <c r="K2837" s="25">
        <f t="shared" si="549"/>
        <v>242667</v>
      </c>
      <c r="L2837" s="95">
        <f t="shared" si="550"/>
        <v>0</v>
      </c>
      <c r="M2837" s="96"/>
      <c r="N2837" s="96"/>
      <c r="O2837" s="130"/>
      <c r="T2837" s="30"/>
    </row>
    <row r="2838" spans="2:21" s="31" customFormat="1" ht="16.149999999999999" hidden="1" customHeight="1" x14ac:dyDescent="0.25">
      <c r="B2838" s="139" t="s">
        <v>2678</v>
      </c>
      <c r="C2838" s="140"/>
      <c r="D2838" s="141">
        <v>28600000</v>
      </c>
      <c r="E2838" s="141">
        <f>+D2838</f>
        <v>28600000</v>
      </c>
      <c r="F2838" s="141"/>
      <c r="G2838" s="141"/>
      <c r="H2838" s="141"/>
      <c r="I2838" s="141"/>
      <c r="J2838" s="141"/>
      <c r="K2838" s="141"/>
      <c r="L2838" s="141">
        <f>+D2838</f>
        <v>28600000</v>
      </c>
      <c r="M2838" s="142"/>
      <c r="N2838" s="142"/>
      <c r="T2838" s="30"/>
    </row>
    <row r="2839" spans="2:21" s="31" customFormat="1" ht="15" hidden="1" customHeight="1" x14ac:dyDescent="0.25">
      <c r="B2839" s="89">
        <v>44091.083333333336</v>
      </c>
      <c r="C2839" s="92" t="s">
        <v>2679</v>
      </c>
      <c r="D2839" s="23"/>
      <c r="E2839" s="91">
        <v>1560000</v>
      </c>
      <c r="F2839" s="93"/>
      <c r="G2839" s="93">
        <f t="shared" ref="G2839:G2845" si="551">+E2839</f>
        <v>1560000</v>
      </c>
      <c r="H2839" s="94"/>
      <c r="I2839" s="94"/>
      <c r="J2839" s="94">
        <v>13541.39</v>
      </c>
      <c r="K2839" s="25">
        <f t="shared" ref="K2839:K2845" si="552">+G2839-H2839-I2839-J2839</f>
        <v>1546458.61</v>
      </c>
      <c r="L2839" s="95">
        <f t="shared" ref="L2839:L2845" si="553">+L2838-G2839</f>
        <v>27040000</v>
      </c>
      <c r="M2839" s="96"/>
      <c r="N2839" s="96"/>
      <c r="O2839" s="130">
        <f>+L2845-'[1]ANEXO 7 - PPTO VIG 2020'!T112</f>
        <v>0</v>
      </c>
      <c r="P2839" s="126">
        <v>9409728533</v>
      </c>
      <c r="Q2839" s="127">
        <v>44013</v>
      </c>
      <c r="R2839" s="29">
        <v>69400</v>
      </c>
      <c r="S2839" s="29">
        <v>88000</v>
      </c>
      <c r="T2839" s="30"/>
    </row>
    <row r="2840" spans="2:21" s="31" customFormat="1" ht="15" hidden="1" customHeight="1" x14ac:dyDescent="0.25">
      <c r="B2840" s="89">
        <v>44091.083333333336</v>
      </c>
      <c r="C2840" s="92" t="s">
        <v>2680</v>
      </c>
      <c r="D2840" s="23"/>
      <c r="E2840" s="91">
        <v>5200000</v>
      </c>
      <c r="F2840" s="93"/>
      <c r="G2840" s="93">
        <f t="shared" si="551"/>
        <v>5200000</v>
      </c>
      <c r="H2840" s="94"/>
      <c r="I2840" s="94"/>
      <c r="J2840" s="94">
        <v>44505</v>
      </c>
      <c r="K2840" s="25">
        <f t="shared" si="552"/>
        <v>5155495</v>
      </c>
      <c r="L2840" s="95">
        <f t="shared" si="553"/>
        <v>21840000</v>
      </c>
      <c r="M2840" s="96"/>
      <c r="N2840" s="96"/>
      <c r="O2840" s="130"/>
      <c r="P2840" s="126">
        <v>9409788496</v>
      </c>
      <c r="Q2840" s="127">
        <v>44044</v>
      </c>
      <c r="R2840" s="29">
        <v>260000</v>
      </c>
      <c r="S2840" s="29">
        <v>332800</v>
      </c>
      <c r="T2840" s="30"/>
    </row>
    <row r="2841" spans="2:21" s="31" customFormat="1" ht="15" hidden="1" customHeight="1" x14ac:dyDescent="0.25">
      <c r="B2841" s="89">
        <v>44117.083333333336</v>
      </c>
      <c r="C2841" s="92" t="s">
        <v>2681</v>
      </c>
      <c r="D2841" s="23"/>
      <c r="E2841" s="91">
        <v>5200000</v>
      </c>
      <c r="F2841" s="93"/>
      <c r="G2841" s="93">
        <f t="shared" si="551"/>
        <v>5200000</v>
      </c>
      <c r="H2841" s="94"/>
      <c r="I2841" s="94"/>
      <c r="J2841" s="94">
        <v>44505.55</v>
      </c>
      <c r="K2841" s="25">
        <f t="shared" si="552"/>
        <v>5155494.45</v>
      </c>
      <c r="L2841" s="95">
        <f t="shared" si="553"/>
        <v>16640000</v>
      </c>
      <c r="M2841" s="96"/>
      <c r="N2841" s="96"/>
      <c r="O2841" s="130"/>
      <c r="P2841" s="126">
        <v>9409876232</v>
      </c>
      <c r="Q2841" s="127">
        <v>44075</v>
      </c>
      <c r="R2841" s="29">
        <v>260000</v>
      </c>
      <c r="S2841" s="29">
        <v>332800</v>
      </c>
      <c r="T2841" s="30"/>
    </row>
    <row r="2842" spans="2:21" s="31" customFormat="1" ht="15" hidden="1" customHeight="1" x14ac:dyDescent="0.25">
      <c r="B2842" s="89">
        <v>44147.125</v>
      </c>
      <c r="C2842" s="92" t="s">
        <v>2682</v>
      </c>
      <c r="D2842" s="23"/>
      <c r="E2842" s="91">
        <v>5200000</v>
      </c>
      <c r="F2842" s="93"/>
      <c r="G2842" s="93">
        <f t="shared" si="551"/>
        <v>5200000</v>
      </c>
      <c r="H2842" s="94"/>
      <c r="I2842" s="94"/>
      <c r="J2842" s="94">
        <v>44505.55</v>
      </c>
      <c r="K2842" s="25">
        <f t="shared" si="552"/>
        <v>5155494.45</v>
      </c>
      <c r="L2842" s="95">
        <f t="shared" si="553"/>
        <v>11440000</v>
      </c>
      <c r="M2842" s="96"/>
      <c r="N2842" s="96"/>
      <c r="O2842" s="130"/>
      <c r="P2842" s="126">
        <v>9410956445</v>
      </c>
      <c r="Q2842" s="127">
        <v>44105</v>
      </c>
      <c r="R2842" s="29">
        <v>260000</v>
      </c>
      <c r="S2842" s="29">
        <v>332800</v>
      </c>
      <c r="T2842" s="30"/>
    </row>
    <row r="2843" spans="2:21" s="31" customFormat="1" ht="15" hidden="1" customHeight="1" x14ac:dyDescent="0.25">
      <c r="B2843" s="89">
        <v>44179.125</v>
      </c>
      <c r="C2843" s="92" t="s">
        <v>2683</v>
      </c>
      <c r="D2843" s="23"/>
      <c r="E2843" s="91">
        <v>5200000</v>
      </c>
      <c r="F2843" s="93"/>
      <c r="G2843" s="93">
        <f t="shared" si="551"/>
        <v>5200000</v>
      </c>
      <c r="H2843" s="94"/>
      <c r="I2843" s="94"/>
      <c r="J2843" s="94">
        <v>44505.55</v>
      </c>
      <c r="K2843" s="25">
        <f t="shared" si="552"/>
        <v>5155494.45</v>
      </c>
      <c r="L2843" s="95">
        <f t="shared" si="553"/>
        <v>6240000</v>
      </c>
      <c r="M2843" s="96"/>
      <c r="N2843" s="96"/>
      <c r="O2843" s="130"/>
      <c r="P2843" s="126">
        <v>9412071618</v>
      </c>
      <c r="Q2843" s="127">
        <v>44136</v>
      </c>
      <c r="R2843" s="29">
        <v>260000</v>
      </c>
      <c r="S2843" s="29">
        <v>332800</v>
      </c>
      <c r="T2843" s="30"/>
    </row>
    <row r="2844" spans="2:21" s="31" customFormat="1" ht="15" hidden="1" customHeight="1" x14ac:dyDescent="0.25">
      <c r="B2844" s="89">
        <v>44189.125</v>
      </c>
      <c r="C2844" s="92" t="s">
        <v>2684</v>
      </c>
      <c r="D2844" s="23"/>
      <c r="E2844" s="91">
        <v>5200000</v>
      </c>
      <c r="F2844" s="93"/>
      <c r="G2844" s="93">
        <f t="shared" si="551"/>
        <v>5200000</v>
      </c>
      <c r="H2844" s="94"/>
      <c r="I2844" s="94"/>
      <c r="J2844" s="94">
        <v>44505.55</v>
      </c>
      <c r="K2844" s="25">
        <f t="shared" si="552"/>
        <v>5155494.45</v>
      </c>
      <c r="L2844" s="95">
        <f t="shared" si="553"/>
        <v>1040000</v>
      </c>
      <c r="M2844" s="96"/>
      <c r="N2844" s="96"/>
      <c r="O2844" s="130"/>
      <c r="P2844" s="126">
        <v>9413800651</v>
      </c>
      <c r="Q2844" s="127">
        <v>44166</v>
      </c>
      <c r="R2844" s="29">
        <v>260000</v>
      </c>
      <c r="S2844" s="29">
        <v>332800</v>
      </c>
      <c r="T2844" s="30"/>
    </row>
    <row r="2845" spans="2:21" s="31" customFormat="1" ht="15" hidden="1" customHeight="1" x14ac:dyDescent="0.25">
      <c r="B2845" s="89"/>
      <c r="C2845" s="92" t="s">
        <v>2047</v>
      </c>
      <c r="D2845" s="23"/>
      <c r="E2845" s="91">
        <v>1040000</v>
      </c>
      <c r="F2845" s="93"/>
      <c r="G2845" s="93">
        <f t="shared" si="551"/>
        <v>1040000</v>
      </c>
      <c r="H2845" s="94"/>
      <c r="I2845" s="94"/>
      <c r="J2845" s="94"/>
      <c r="K2845" s="25">
        <f t="shared" si="552"/>
        <v>1040000</v>
      </c>
      <c r="L2845" s="95">
        <f t="shared" si="553"/>
        <v>0</v>
      </c>
      <c r="M2845" s="96"/>
      <c r="N2845" s="96"/>
      <c r="O2845" s="130"/>
      <c r="P2845" s="126"/>
      <c r="Q2845" s="127"/>
      <c r="R2845" s="29"/>
      <c r="S2845" s="29"/>
      <c r="T2845" s="30"/>
    </row>
    <row r="2846" spans="2:21" s="31" customFormat="1" ht="16.149999999999999" hidden="1" customHeight="1" x14ac:dyDescent="0.25">
      <c r="B2846" s="139" t="s">
        <v>2685</v>
      </c>
      <c r="C2846" s="140"/>
      <c r="D2846" s="141">
        <v>9533333</v>
      </c>
      <c r="E2846" s="141">
        <f>+D2846</f>
        <v>9533333</v>
      </c>
      <c r="F2846" s="141"/>
      <c r="G2846" s="141"/>
      <c r="H2846" s="141"/>
      <c r="I2846" s="141"/>
      <c r="J2846" s="141"/>
      <c r="K2846" s="141"/>
      <c r="L2846" s="141">
        <f>+D2846</f>
        <v>9533333</v>
      </c>
      <c r="M2846" s="142"/>
      <c r="N2846" s="142"/>
      <c r="P2846" s="126"/>
      <c r="Q2846" s="126"/>
      <c r="R2846" s="29"/>
      <c r="S2846" s="29"/>
      <c r="T2846" s="30"/>
    </row>
    <row r="2847" spans="2:21" s="31" customFormat="1" ht="15" hidden="1" customHeight="1" x14ac:dyDescent="0.25">
      <c r="B2847" s="89">
        <v>44091.083333333336</v>
      </c>
      <c r="C2847" s="92" t="s">
        <v>2686</v>
      </c>
      <c r="D2847" s="23"/>
      <c r="E2847" s="91">
        <v>381333.33</v>
      </c>
      <c r="F2847" s="93"/>
      <c r="G2847" s="93">
        <f>+E2847</f>
        <v>381333.33</v>
      </c>
      <c r="H2847" s="94"/>
      <c r="I2847" s="94"/>
      <c r="J2847" s="94">
        <v>3263.74</v>
      </c>
      <c r="K2847" s="25">
        <f>+G2847-H2847-I2847-J2847</f>
        <v>378069.59</v>
      </c>
      <c r="L2847" s="95">
        <f>+L2846-G2847</f>
        <v>9151999.6699999999</v>
      </c>
      <c r="M2847" s="96"/>
      <c r="N2847" s="96"/>
      <c r="O2847" s="130">
        <f>+L2851-'[1]ANEXO 7 - PPTO VIG 2020'!T56</f>
        <v>0</v>
      </c>
      <c r="P2847" s="126" t="s">
        <v>2687</v>
      </c>
      <c r="Q2847" s="127">
        <v>44044</v>
      </c>
      <c r="R2847" s="29">
        <f>18300+800</f>
        <v>19100</v>
      </c>
      <c r="S2847" s="29">
        <f>23500+1000</f>
        <v>24500</v>
      </c>
      <c r="T2847" s="30"/>
      <c r="U2847" s="146"/>
    </row>
    <row r="2848" spans="2:21" s="31" customFormat="1" ht="15" hidden="1" customHeight="1" x14ac:dyDescent="0.25">
      <c r="B2848" s="89">
        <v>44109.083333333336</v>
      </c>
      <c r="C2848" s="92" t="s">
        <v>2688</v>
      </c>
      <c r="D2848" s="23"/>
      <c r="E2848" s="91">
        <v>2288000</v>
      </c>
      <c r="F2848" s="93"/>
      <c r="G2848" s="93">
        <f>+E2848</f>
        <v>2288000</v>
      </c>
      <c r="H2848" s="94"/>
      <c r="I2848" s="94"/>
      <c r="J2848" s="94">
        <v>19582.439999999999</v>
      </c>
      <c r="K2848" s="25">
        <f>+G2848-H2848-I2848-J2848</f>
        <v>2268417.56</v>
      </c>
      <c r="L2848" s="95">
        <f>+L2847-G2848</f>
        <v>6863999.6699999999</v>
      </c>
      <c r="M2848" s="96"/>
      <c r="N2848" s="96"/>
      <c r="O2848" s="130"/>
      <c r="P2848" s="126">
        <v>9410651322</v>
      </c>
      <c r="Q2848" s="127">
        <v>44075</v>
      </c>
      <c r="R2848" s="29">
        <v>114000</v>
      </c>
      <c r="S2848" s="29">
        <v>146500</v>
      </c>
      <c r="T2848" s="30"/>
    </row>
    <row r="2849" spans="2:21" s="31" customFormat="1" ht="15" hidden="1" customHeight="1" x14ac:dyDescent="0.25">
      <c r="B2849" s="89">
        <v>44141.125</v>
      </c>
      <c r="C2849" s="92" t="s">
        <v>2689</v>
      </c>
      <c r="D2849" s="23"/>
      <c r="E2849" s="91">
        <v>2288000</v>
      </c>
      <c r="F2849" s="93"/>
      <c r="G2849" s="93">
        <f>+E2849</f>
        <v>2288000</v>
      </c>
      <c r="H2849" s="94"/>
      <c r="I2849" s="94"/>
      <c r="J2849" s="94">
        <v>19582.439999999999</v>
      </c>
      <c r="K2849" s="25">
        <f>+G2849-H2849-I2849-J2849</f>
        <v>2268417.56</v>
      </c>
      <c r="L2849" s="95">
        <f>+L2848-G2849</f>
        <v>4575999.67</v>
      </c>
      <c r="M2849" s="96"/>
      <c r="N2849" s="96"/>
      <c r="O2849" s="130"/>
      <c r="P2849" s="126">
        <v>9410888645</v>
      </c>
      <c r="Q2849" s="127">
        <v>44105</v>
      </c>
      <c r="R2849" s="29">
        <v>114000</v>
      </c>
      <c r="S2849" s="29">
        <v>146500</v>
      </c>
      <c r="T2849" s="30"/>
    </row>
    <row r="2850" spans="2:21" s="31" customFormat="1" ht="15" hidden="1" customHeight="1" x14ac:dyDescent="0.25">
      <c r="B2850" s="89">
        <v>44179.125</v>
      </c>
      <c r="C2850" s="92" t="s">
        <v>2690</v>
      </c>
      <c r="D2850" s="23"/>
      <c r="E2850" s="91">
        <v>2288000</v>
      </c>
      <c r="F2850" s="93"/>
      <c r="G2850" s="93">
        <f>+E2850</f>
        <v>2288000</v>
      </c>
      <c r="H2850" s="94"/>
      <c r="I2850" s="94"/>
      <c r="J2850" s="94">
        <v>19582.439999999999</v>
      </c>
      <c r="K2850" s="25">
        <f>+G2850-H2850-I2850-J2850</f>
        <v>2268417.56</v>
      </c>
      <c r="L2850" s="95">
        <f>+L2849-G2850</f>
        <v>2287999.67</v>
      </c>
      <c r="M2850" s="96"/>
      <c r="N2850" s="96"/>
      <c r="O2850" s="130"/>
      <c r="P2850" s="126">
        <v>9413898028</v>
      </c>
      <c r="Q2850" s="127">
        <v>44136</v>
      </c>
      <c r="R2850" s="29">
        <v>790000</v>
      </c>
      <c r="S2850" s="29">
        <v>1074400</v>
      </c>
      <c r="T2850" s="30"/>
    </row>
    <row r="2851" spans="2:21" s="31" customFormat="1" ht="15" hidden="1" customHeight="1" x14ac:dyDescent="0.25">
      <c r="B2851" s="89">
        <v>44193.125</v>
      </c>
      <c r="C2851" s="92" t="s">
        <v>2691</v>
      </c>
      <c r="D2851" s="23"/>
      <c r="E2851" s="91">
        <v>2287999.67</v>
      </c>
      <c r="F2851" s="93"/>
      <c r="G2851" s="93">
        <f>+E2851</f>
        <v>2287999.67</v>
      </c>
      <c r="H2851" s="94"/>
      <c r="I2851" s="94"/>
      <c r="J2851" s="94">
        <v>19582.439999999999</v>
      </c>
      <c r="K2851" s="25">
        <f>+G2851-H2851-I2851-J2851</f>
        <v>2268417.23</v>
      </c>
      <c r="L2851" s="95">
        <f>+L2850-G2851</f>
        <v>0</v>
      </c>
      <c r="M2851" s="96"/>
      <c r="N2851" s="96"/>
      <c r="O2851" s="130"/>
      <c r="P2851" s="126">
        <v>9413898252</v>
      </c>
      <c r="Q2851" s="127">
        <v>44166</v>
      </c>
      <c r="R2851" s="29">
        <v>801000</v>
      </c>
      <c r="S2851" s="29">
        <v>1090600</v>
      </c>
      <c r="T2851" s="30"/>
    </row>
    <row r="2852" spans="2:21" s="31" customFormat="1" ht="16.149999999999999" hidden="1" customHeight="1" x14ac:dyDescent="0.25">
      <c r="B2852" s="139" t="s">
        <v>2692</v>
      </c>
      <c r="C2852" s="140"/>
      <c r="D2852" s="141">
        <v>16000000</v>
      </c>
      <c r="E2852" s="141">
        <f>+D2852</f>
        <v>16000000</v>
      </c>
      <c r="F2852" s="141"/>
      <c r="G2852" s="141"/>
      <c r="H2852" s="141"/>
      <c r="I2852" s="141"/>
      <c r="J2852" s="141"/>
      <c r="K2852" s="141"/>
      <c r="L2852" s="141">
        <f>+D2852</f>
        <v>16000000</v>
      </c>
      <c r="M2852" s="142"/>
      <c r="N2852" s="142"/>
      <c r="P2852" s="126"/>
      <c r="Q2852" s="126"/>
      <c r="R2852" s="29"/>
      <c r="S2852" s="29"/>
      <c r="T2852" s="30"/>
    </row>
    <row r="2853" spans="2:21" s="31" customFormat="1" ht="15" hidden="1" customHeight="1" x14ac:dyDescent="0.25">
      <c r="B2853" s="89">
        <v>44113.083333333336</v>
      </c>
      <c r="C2853" s="92" t="s">
        <v>2693</v>
      </c>
      <c r="D2853" s="23"/>
      <c r="E2853" s="91">
        <v>3600000</v>
      </c>
      <c r="F2853" s="93"/>
      <c r="G2853" s="93">
        <f>+E2853</f>
        <v>3600000</v>
      </c>
      <c r="H2853" s="94"/>
      <c r="I2853" s="94"/>
      <c r="J2853" s="94">
        <v>30811.54</v>
      </c>
      <c r="K2853" s="25">
        <f>+G2853-H2853-I2853-J2853</f>
        <v>3569188.46</v>
      </c>
      <c r="L2853" s="95">
        <f>+L2852-G2853</f>
        <v>12400000</v>
      </c>
      <c r="M2853" s="96"/>
      <c r="N2853" s="96"/>
      <c r="O2853" s="130">
        <f>+L2857-'[1]ANEXO 7 - PPTO VIG 2020'!T19</f>
        <v>0</v>
      </c>
      <c r="P2853" s="126">
        <v>9410740641</v>
      </c>
      <c r="Q2853" s="127">
        <v>44075</v>
      </c>
      <c r="R2853" s="29">
        <v>200000</v>
      </c>
      <c r="S2853" s="29">
        <v>256000</v>
      </c>
      <c r="T2853" s="30"/>
      <c r="U2853" s="146"/>
    </row>
    <row r="2854" spans="2:21" s="31" customFormat="1" ht="15" hidden="1" customHeight="1" x14ac:dyDescent="0.25">
      <c r="B2854" s="89">
        <v>44141.125</v>
      </c>
      <c r="C2854" s="92" t="s">
        <v>2694</v>
      </c>
      <c r="D2854" s="23"/>
      <c r="E2854" s="91">
        <v>4000000</v>
      </c>
      <c r="F2854" s="93"/>
      <c r="G2854" s="93">
        <f>+E2854</f>
        <v>4000000</v>
      </c>
      <c r="H2854" s="94"/>
      <c r="I2854" s="94"/>
      <c r="J2854" s="94">
        <v>34235.040000000001</v>
      </c>
      <c r="K2854" s="25">
        <f>+G2854-H2854-I2854-J2854</f>
        <v>3965764.96</v>
      </c>
      <c r="L2854" s="95">
        <f>+L2853-G2854</f>
        <v>8400000</v>
      </c>
      <c r="M2854" s="96"/>
      <c r="N2854" s="96"/>
      <c r="O2854" s="130"/>
      <c r="P2854" s="126">
        <v>9410938637</v>
      </c>
      <c r="Q2854" s="127">
        <v>44105</v>
      </c>
      <c r="R2854" s="29">
        <v>200000</v>
      </c>
      <c r="S2854" s="29">
        <v>256000</v>
      </c>
      <c r="T2854" s="30"/>
    </row>
    <row r="2855" spans="2:21" s="31" customFormat="1" ht="15" hidden="1" customHeight="1" x14ac:dyDescent="0.25">
      <c r="B2855" s="89">
        <v>44168.125</v>
      </c>
      <c r="C2855" s="92" t="s">
        <v>2695</v>
      </c>
      <c r="D2855" s="23"/>
      <c r="E2855" s="91">
        <v>4000000</v>
      </c>
      <c r="F2855" s="93"/>
      <c r="G2855" s="93">
        <f>+E2855</f>
        <v>4000000</v>
      </c>
      <c r="H2855" s="94"/>
      <c r="I2855" s="94"/>
      <c r="J2855" s="94">
        <v>34235.040000000001</v>
      </c>
      <c r="K2855" s="25">
        <f>+G2855-H2855-I2855-J2855</f>
        <v>3965764.96</v>
      </c>
      <c r="L2855" s="95">
        <f>+L2854-G2855</f>
        <v>4400000</v>
      </c>
      <c r="M2855" s="96"/>
      <c r="N2855" s="96"/>
      <c r="O2855" s="130"/>
      <c r="P2855" s="126">
        <v>9412021288</v>
      </c>
      <c r="Q2855" s="127">
        <v>44136</v>
      </c>
      <c r="R2855" s="29">
        <v>200000</v>
      </c>
      <c r="S2855" s="29">
        <v>256000</v>
      </c>
      <c r="T2855" s="30"/>
    </row>
    <row r="2856" spans="2:21" s="31" customFormat="1" ht="15" hidden="1" customHeight="1" x14ac:dyDescent="0.25">
      <c r="B2856" s="89">
        <v>44189.125</v>
      </c>
      <c r="C2856" s="92" t="s">
        <v>2696</v>
      </c>
      <c r="D2856" s="23"/>
      <c r="E2856" s="91">
        <v>4000000</v>
      </c>
      <c r="F2856" s="93"/>
      <c r="G2856" s="93">
        <f>+E2856</f>
        <v>4000000</v>
      </c>
      <c r="H2856" s="94"/>
      <c r="I2856" s="94"/>
      <c r="J2856" s="94">
        <v>34235.040000000001</v>
      </c>
      <c r="K2856" s="25">
        <f>+G2856-H2856-I2856-J2856</f>
        <v>3965764.96</v>
      </c>
      <c r="L2856" s="95">
        <f>+L2855-G2856</f>
        <v>400000</v>
      </c>
      <c r="M2856" s="96"/>
      <c r="N2856" s="96"/>
      <c r="O2856" s="130"/>
      <c r="P2856" s="126">
        <v>9413170016</v>
      </c>
      <c r="Q2856" s="127">
        <v>44166</v>
      </c>
      <c r="R2856" s="29">
        <v>200000</v>
      </c>
      <c r="S2856" s="29">
        <v>256000</v>
      </c>
      <c r="T2856" s="30"/>
    </row>
    <row r="2857" spans="2:21" s="31" customFormat="1" ht="15" hidden="1" customHeight="1" x14ac:dyDescent="0.25">
      <c r="B2857" s="89"/>
      <c r="C2857" s="92" t="s">
        <v>2047</v>
      </c>
      <c r="D2857" s="23"/>
      <c r="E2857" s="91">
        <v>400000</v>
      </c>
      <c r="F2857" s="93"/>
      <c r="G2857" s="93">
        <f>+E2857</f>
        <v>400000</v>
      </c>
      <c r="H2857" s="94"/>
      <c r="I2857" s="94"/>
      <c r="J2857" s="94"/>
      <c r="K2857" s="25">
        <f>+G2857-H2857-I2857-J2857</f>
        <v>400000</v>
      </c>
      <c r="L2857" s="95">
        <f>+L2856-G2857</f>
        <v>0</v>
      </c>
      <c r="M2857" s="96"/>
      <c r="N2857" s="96"/>
      <c r="O2857" s="130"/>
      <c r="P2857" s="126"/>
      <c r="Q2857" s="127"/>
      <c r="R2857" s="29"/>
      <c r="S2857" s="29"/>
      <c r="T2857" s="30"/>
    </row>
    <row r="2858" spans="2:21" s="31" customFormat="1" ht="16.149999999999999" hidden="1" customHeight="1" x14ac:dyDescent="0.25">
      <c r="B2858" s="139" t="s">
        <v>2697</v>
      </c>
      <c r="C2858" s="140"/>
      <c r="D2858" s="141">
        <v>30784000</v>
      </c>
      <c r="E2858" s="141">
        <f>+D2858</f>
        <v>30784000</v>
      </c>
      <c r="F2858" s="141"/>
      <c r="G2858" s="141"/>
      <c r="H2858" s="141"/>
      <c r="I2858" s="141"/>
      <c r="J2858" s="141"/>
      <c r="K2858" s="141"/>
      <c r="L2858" s="141">
        <f>+D2858</f>
        <v>30784000</v>
      </c>
      <c r="M2858" s="142"/>
      <c r="N2858" s="142"/>
      <c r="P2858" s="126"/>
      <c r="Q2858" s="126"/>
      <c r="R2858" s="29"/>
      <c r="S2858" s="29"/>
      <c r="T2858" s="30"/>
    </row>
    <row r="2859" spans="2:21" s="31" customFormat="1" ht="15" hidden="1" customHeight="1" x14ac:dyDescent="0.25">
      <c r="B2859" s="89">
        <v>44123.083333333336</v>
      </c>
      <c r="C2859" s="92" t="s">
        <v>2698</v>
      </c>
      <c r="D2859" s="23"/>
      <c r="E2859" s="91">
        <v>5824000</v>
      </c>
      <c r="F2859" s="93"/>
      <c r="G2859" s="93">
        <f>+E2859</f>
        <v>5824000</v>
      </c>
      <c r="H2859" s="94"/>
      <c r="I2859" s="94">
        <v>143010.14000000001</v>
      </c>
      <c r="J2859" s="94">
        <v>53446.85</v>
      </c>
      <c r="K2859" s="25">
        <f>+G2859-H2859-I2859-J2859</f>
        <v>5627543.0100000007</v>
      </c>
      <c r="L2859" s="95">
        <f>+L2858-G2859</f>
        <v>24960000</v>
      </c>
      <c r="M2859" s="96"/>
      <c r="N2859" s="96"/>
      <c r="O2859" s="130">
        <f>+L2862-'[1]ANEXO 7 - PPTO VIG 2020'!T113</f>
        <v>0</v>
      </c>
      <c r="P2859" s="126">
        <v>9410740641</v>
      </c>
      <c r="Q2859" s="127">
        <v>44075</v>
      </c>
      <c r="R2859" s="29">
        <v>200000</v>
      </c>
      <c r="S2859" s="29">
        <v>256000</v>
      </c>
      <c r="T2859" s="30">
        <f>+L2858*40%</f>
        <v>12313600</v>
      </c>
      <c r="U2859" s="146"/>
    </row>
    <row r="2860" spans="2:21" s="31" customFormat="1" ht="15" hidden="1" customHeight="1" x14ac:dyDescent="0.25">
      <c r="B2860" s="89">
        <v>44147.125</v>
      </c>
      <c r="C2860" s="92" t="s">
        <v>2699</v>
      </c>
      <c r="D2860" s="23"/>
      <c r="E2860" s="91">
        <v>8320000</v>
      </c>
      <c r="F2860" s="93"/>
      <c r="G2860" s="93">
        <f>+E2860</f>
        <v>8320000</v>
      </c>
      <c r="H2860" s="94"/>
      <c r="I2860" s="94">
        <v>514473.01</v>
      </c>
      <c r="J2860" s="94">
        <v>76352.639999999999</v>
      </c>
      <c r="K2860" s="25">
        <f>+G2860-H2860-I2860-J2860</f>
        <v>7729174.3500000006</v>
      </c>
      <c r="L2860" s="95">
        <f>+L2859-G2860</f>
        <v>16640000</v>
      </c>
      <c r="M2860" s="96"/>
      <c r="N2860" s="96"/>
      <c r="O2860" s="130"/>
      <c r="P2860" s="126">
        <v>46152075</v>
      </c>
      <c r="Q2860" s="127">
        <v>44105</v>
      </c>
      <c r="R2860" s="29">
        <v>676000</v>
      </c>
      <c r="S2860" s="29"/>
      <c r="T2860" s="30">
        <f>+T2859*12.5%</f>
        <v>1539200</v>
      </c>
      <c r="U2860" s="146"/>
    </row>
    <row r="2861" spans="2:21" s="31" customFormat="1" ht="15" hidden="1" customHeight="1" x14ac:dyDescent="0.25">
      <c r="B2861" s="89">
        <v>44176.125</v>
      </c>
      <c r="C2861" s="92" t="s">
        <v>2700</v>
      </c>
      <c r="D2861" s="23"/>
      <c r="E2861" s="91">
        <v>8320000</v>
      </c>
      <c r="F2861" s="93"/>
      <c r="G2861" s="93">
        <f>+E2861</f>
        <v>8320000</v>
      </c>
      <c r="H2861" s="94"/>
      <c r="I2861" s="94">
        <v>514473.01</v>
      </c>
      <c r="J2861" s="94">
        <v>76352.639999999999</v>
      </c>
      <c r="K2861" s="25">
        <f>+G2861-H2861-I2861-J2861</f>
        <v>7729174.3500000006</v>
      </c>
      <c r="L2861" s="95">
        <f>+L2860-G2861</f>
        <v>8320000</v>
      </c>
      <c r="M2861" s="96"/>
      <c r="N2861" s="96"/>
      <c r="O2861" s="130"/>
      <c r="P2861" s="126">
        <v>46683959</v>
      </c>
      <c r="Q2861" s="127">
        <v>44136</v>
      </c>
      <c r="R2861" s="29">
        <v>676000</v>
      </c>
      <c r="S2861" s="29"/>
      <c r="T2861" s="30"/>
      <c r="U2861" s="146"/>
    </row>
    <row r="2862" spans="2:21" s="31" customFormat="1" ht="15" hidden="1" customHeight="1" x14ac:dyDescent="0.25">
      <c r="B2862" s="89">
        <v>44189.125</v>
      </c>
      <c r="C2862" s="92" t="s">
        <v>2701</v>
      </c>
      <c r="D2862" s="23"/>
      <c r="E2862" s="91">
        <v>8320000</v>
      </c>
      <c r="F2862" s="93"/>
      <c r="G2862" s="93">
        <f>+E2862</f>
        <v>8320000</v>
      </c>
      <c r="H2862" s="94"/>
      <c r="I2862" s="94">
        <v>514703.99</v>
      </c>
      <c r="J2862" s="94">
        <v>76352.639999999999</v>
      </c>
      <c r="K2862" s="25">
        <f>+G2862-H2862-I2862-J2862</f>
        <v>7728943.3700000001</v>
      </c>
      <c r="L2862" s="95">
        <f>+L2861-G2862</f>
        <v>0</v>
      </c>
      <c r="M2862" s="96"/>
      <c r="N2862" s="96"/>
      <c r="O2862" s="130"/>
      <c r="P2862" s="126">
        <v>47336638</v>
      </c>
      <c r="Q2862" s="127">
        <v>44166</v>
      </c>
      <c r="R2862" s="29">
        <v>650000</v>
      </c>
      <c r="S2862" s="29"/>
      <c r="T2862" s="30"/>
      <c r="U2862" s="146"/>
    </row>
    <row r="2863" spans="2:21" s="31" customFormat="1" ht="16.149999999999999" hidden="1" customHeight="1" x14ac:dyDescent="0.25">
      <c r="B2863" s="139" t="s">
        <v>2702</v>
      </c>
      <c r="C2863" s="140"/>
      <c r="D2863" s="141">
        <v>25866667</v>
      </c>
      <c r="E2863" s="141">
        <f>+D2863</f>
        <v>25866667</v>
      </c>
      <c r="F2863" s="141"/>
      <c r="G2863" s="141"/>
      <c r="H2863" s="141"/>
      <c r="I2863" s="141"/>
      <c r="J2863" s="141"/>
      <c r="K2863" s="141"/>
      <c r="L2863" s="141">
        <f>+D2863</f>
        <v>25866667</v>
      </c>
      <c r="M2863" s="142"/>
      <c r="N2863" s="142"/>
      <c r="P2863" s="126"/>
      <c r="Q2863" s="126"/>
      <c r="R2863" s="29"/>
      <c r="S2863" s="29"/>
      <c r="T2863" s="30">
        <f>8000000*40%</f>
        <v>3200000</v>
      </c>
    </row>
    <row r="2864" spans="2:21" s="31" customFormat="1" ht="15" hidden="1" customHeight="1" x14ac:dyDescent="0.25">
      <c r="B2864" s="89">
        <v>44131.083333333336</v>
      </c>
      <c r="C2864" s="92" t="s">
        <v>2703</v>
      </c>
      <c r="D2864" s="23"/>
      <c r="E2864" s="91">
        <v>1600000</v>
      </c>
      <c r="F2864" s="93"/>
      <c r="G2864" s="93">
        <f>+E2864</f>
        <v>1600000</v>
      </c>
      <c r="H2864" s="94"/>
      <c r="I2864" s="94"/>
      <c r="J2864" s="94">
        <v>14972.03</v>
      </c>
      <c r="K2864" s="25">
        <f>+G2864-H2864-I2864-J2864</f>
        <v>1585027.97</v>
      </c>
      <c r="L2864" s="95">
        <f>+L2863-G2864</f>
        <v>24266667</v>
      </c>
      <c r="M2864" s="96"/>
      <c r="N2864" s="96"/>
      <c r="O2864" s="130">
        <f>+L2868-'[1]ANEXO 7 - PPTO VIG 2020'!T90</f>
        <v>0</v>
      </c>
      <c r="P2864" s="126">
        <v>8820759610</v>
      </c>
      <c r="Q2864" s="127">
        <v>44075</v>
      </c>
      <c r="R2864" s="29">
        <v>22000</v>
      </c>
      <c r="S2864" s="29">
        <v>28100</v>
      </c>
      <c r="T2864" s="30">
        <f>+T2863*12.5%</f>
        <v>400000</v>
      </c>
      <c r="U2864" s="146"/>
    </row>
    <row r="2865" spans="1:21" s="31" customFormat="1" ht="15" hidden="1" customHeight="1" x14ac:dyDescent="0.25">
      <c r="B2865" s="89">
        <v>44148.125</v>
      </c>
      <c r="C2865" s="92" t="s">
        <v>2704</v>
      </c>
      <c r="D2865" s="23"/>
      <c r="E2865" s="91">
        <v>8000000</v>
      </c>
      <c r="F2865" s="93"/>
      <c r="G2865" s="93">
        <f>+E2865</f>
        <v>8000000</v>
      </c>
      <c r="H2865" s="94"/>
      <c r="I2865" s="94">
        <v>250939.66</v>
      </c>
      <c r="J2865" s="94">
        <v>68470.080000000002</v>
      </c>
      <c r="K2865" s="25">
        <f>+G2865-H2865-I2865-J2865</f>
        <v>7680590.2599999998</v>
      </c>
      <c r="L2865" s="95">
        <f>+L2864-G2865</f>
        <v>16266667</v>
      </c>
      <c r="M2865" s="96"/>
      <c r="N2865" s="96"/>
      <c r="O2865" s="130"/>
      <c r="P2865" s="126" t="s">
        <v>2705</v>
      </c>
      <c r="Q2865" s="127">
        <v>44105</v>
      </c>
      <c r="R2865" s="29">
        <f>219500+180500</f>
        <v>400000</v>
      </c>
      <c r="S2865" s="29">
        <f>280900+231100</f>
        <v>512000</v>
      </c>
      <c r="T2865" s="30">
        <f>+T2863*16%</f>
        <v>512000</v>
      </c>
      <c r="U2865" s="146"/>
    </row>
    <row r="2866" spans="1:21" s="31" customFormat="1" ht="15" hidden="1" customHeight="1" x14ac:dyDescent="0.25">
      <c r="B2866" s="89">
        <v>44179.125</v>
      </c>
      <c r="C2866" s="92" t="s">
        <v>2706</v>
      </c>
      <c r="D2866" s="23"/>
      <c r="E2866" s="91">
        <v>8000000</v>
      </c>
      <c r="F2866" s="93"/>
      <c r="G2866" s="93">
        <f>+E2866</f>
        <v>8000000</v>
      </c>
      <c r="H2866" s="94"/>
      <c r="I2866" s="94">
        <v>250939.66</v>
      </c>
      <c r="J2866" s="94">
        <v>68470.080000000002</v>
      </c>
      <c r="K2866" s="25">
        <f>+G2866-H2866-I2866-J2866</f>
        <v>7680590.2599999998</v>
      </c>
      <c r="L2866" s="95">
        <f>+L2865-G2866</f>
        <v>8266667</v>
      </c>
      <c r="M2866" s="96"/>
      <c r="N2866" s="96"/>
      <c r="O2866" s="130"/>
      <c r="P2866" s="126">
        <v>1033911468</v>
      </c>
      <c r="Q2866" s="127">
        <v>44136</v>
      </c>
      <c r="R2866" s="29">
        <f>219500+180500</f>
        <v>400000</v>
      </c>
      <c r="S2866" s="29">
        <f>280900+231100</f>
        <v>512000</v>
      </c>
      <c r="T2866" s="30"/>
      <c r="U2866" s="146"/>
    </row>
    <row r="2867" spans="1:21" s="31" customFormat="1" ht="15" hidden="1" customHeight="1" x14ac:dyDescent="0.25">
      <c r="B2867" s="89">
        <v>44189.125</v>
      </c>
      <c r="C2867" s="92" t="s">
        <v>2707</v>
      </c>
      <c r="D2867" s="23"/>
      <c r="E2867" s="91">
        <v>8000000</v>
      </c>
      <c r="F2867" s="93"/>
      <c r="G2867" s="93">
        <f>+E2867</f>
        <v>8000000</v>
      </c>
      <c r="H2867" s="94"/>
      <c r="I2867" s="94">
        <v>250939.66</v>
      </c>
      <c r="J2867" s="94">
        <v>68470.080000000002</v>
      </c>
      <c r="K2867" s="25">
        <f>+G2867-H2867-I2867-J2867</f>
        <v>7680590.2599999998</v>
      </c>
      <c r="L2867" s="95">
        <f>+L2866-G2867</f>
        <v>266667</v>
      </c>
      <c r="M2867" s="96"/>
      <c r="N2867" s="96"/>
      <c r="O2867" s="130"/>
      <c r="P2867" s="126">
        <v>1034338552</v>
      </c>
      <c r="Q2867" s="127">
        <v>44166</v>
      </c>
      <c r="R2867" s="29">
        <f>219500+180500</f>
        <v>400000</v>
      </c>
      <c r="S2867" s="29">
        <f>280900+231100</f>
        <v>512000</v>
      </c>
      <c r="T2867" s="30"/>
      <c r="U2867" s="146"/>
    </row>
    <row r="2868" spans="1:21" s="31" customFormat="1" ht="15" hidden="1" customHeight="1" x14ac:dyDescent="0.25">
      <c r="B2868" s="89"/>
      <c r="C2868" s="92" t="s">
        <v>2047</v>
      </c>
      <c r="D2868" s="23"/>
      <c r="E2868" s="91">
        <v>266667</v>
      </c>
      <c r="F2868" s="93"/>
      <c r="G2868" s="93">
        <f>+E2868</f>
        <v>266667</v>
      </c>
      <c r="H2868" s="94"/>
      <c r="I2868" s="94"/>
      <c r="J2868" s="94"/>
      <c r="K2868" s="25">
        <f>+G2868-H2868-I2868-J2868</f>
        <v>266667</v>
      </c>
      <c r="L2868" s="95">
        <f>+L2867-G2868</f>
        <v>0</v>
      </c>
      <c r="M2868" s="96"/>
      <c r="N2868" s="96"/>
      <c r="O2868" s="130"/>
      <c r="P2868" s="126"/>
      <c r="Q2868" s="127"/>
      <c r="R2868" s="29"/>
      <c r="S2868" s="29"/>
      <c r="T2868" s="30"/>
      <c r="U2868" s="146"/>
    </row>
    <row r="2869" spans="1:21" s="31" customFormat="1" ht="15" hidden="1" x14ac:dyDescent="0.25">
      <c r="B2869" s="139" t="s">
        <v>2708</v>
      </c>
      <c r="C2869" s="140"/>
      <c r="D2869" s="141">
        <v>19600000</v>
      </c>
      <c r="E2869" s="141">
        <f>+D2869</f>
        <v>19600000</v>
      </c>
      <c r="F2869" s="141"/>
      <c r="G2869" s="141"/>
      <c r="H2869" s="141"/>
      <c r="I2869" s="141"/>
      <c r="J2869" s="141"/>
      <c r="K2869" s="141"/>
      <c r="L2869" s="141">
        <f>+D2869</f>
        <v>19600000</v>
      </c>
      <c r="M2869" s="142"/>
      <c r="N2869" s="142"/>
      <c r="P2869" s="126"/>
      <c r="Q2869" s="126"/>
      <c r="R2869" s="29"/>
      <c r="S2869" s="29"/>
      <c r="T2869" s="30"/>
    </row>
    <row r="2870" spans="1:21" s="31" customFormat="1" ht="15" hidden="1" x14ac:dyDescent="0.25">
      <c r="B2870" s="89">
        <v>44141.125</v>
      </c>
      <c r="C2870" s="92" t="s">
        <v>2709</v>
      </c>
      <c r="D2870" s="23"/>
      <c r="E2870" s="91">
        <v>5600000</v>
      </c>
      <c r="F2870" s="93"/>
      <c r="G2870" s="93">
        <f>+E2870</f>
        <v>5600000</v>
      </c>
      <c r="H2870" s="94"/>
      <c r="I2870" s="94">
        <v>62226.9</v>
      </c>
      <c r="J2870" s="94">
        <v>47929.06</v>
      </c>
      <c r="K2870" s="25">
        <f>+G2870-H2870-I2870-J2870</f>
        <v>5489844.04</v>
      </c>
      <c r="L2870" s="95">
        <f>+L2869-G2870</f>
        <v>14000000</v>
      </c>
      <c r="M2870" s="96"/>
      <c r="N2870" s="96"/>
      <c r="O2870" s="130">
        <f>+L2872-'[1]ANEXO 7 - PPTO VIG 2020'!T91</f>
        <v>0</v>
      </c>
      <c r="P2870" s="126">
        <v>46462396</v>
      </c>
      <c r="Q2870" s="127">
        <v>44105</v>
      </c>
      <c r="R2870" s="29">
        <v>350000</v>
      </c>
      <c r="S2870" s="29">
        <v>448000</v>
      </c>
      <c r="T2870" s="30"/>
      <c r="U2870" s="146"/>
    </row>
    <row r="2871" spans="1:21" s="31" customFormat="1" ht="15" hidden="1" x14ac:dyDescent="0.25">
      <c r="B2871" s="89">
        <v>44169.125</v>
      </c>
      <c r="C2871" s="92" t="s">
        <v>2710</v>
      </c>
      <c r="D2871" s="23"/>
      <c r="E2871" s="91">
        <v>7000000</v>
      </c>
      <c r="F2871" s="93"/>
      <c r="G2871" s="93">
        <f>+E2871</f>
        <v>7000000</v>
      </c>
      <c r="H2871" s="94"/>
      <c r="I2871" s="94">
        <v>238983.89</v>
      </c>
      <c r="J2871" s="94">
        <v>59911.32</v>
      </c>
      <c r="K2871" s="25">
        <f>+G2871-H2871-I2871-J2871</f>
        <v>6701104.79</v>
      </c>
      <c r="L2871" s="95">
        <f>+L2870-G2871</f>
        <v>7000000</v>
      </c>
      <c r="M2871" s="96"/>
      <c r="N2871" s="96"/>
      <c r="O2871" s="130"/>
      <c r="P2871" s="126">
        <v>825912220</v>
      </c>
      <c r="Q2871" s="127">
        <v>44136</v>
      </c>
      <c r="R2871" s="29">
        <v>350000</v>
      </c>
      <c r="S2871" s="29">
        <v>448000</v>
      </c>
      <c r="T2871" s="30"/>
      <c r="U2871" s="146"/>
    </row>
    <row r="2872" spans="1:21" s="31" customFormat="1" ht="15" hidden="1" x14ac:dyDescent="0.25">
      <c r="B2872" s="89">
        <v>44193.125</v>
      </c>
      <c r="C2872" s="92" t="s">
        <v>2711</v>
      </c>
      <c r="D2872" s="23"/>
      <c r="E2872" s="91">
        <v>7000000</v>
      </c>
      <c r="F2872" s="93"/>
      <c r="G2872" s="93">
        <f>+E2872</f>
        <v>7000000</v>
      </c>
      <c r="H2872" s="94"/>
      <c r="I2872" s="94">
        <v>238983.89</v>
      </c>
      <c r="J2872" s="94">
        <v>59911.32</v>
      </c>
      <c r="K2872" s="25">
        <f>+G2872-H2872-I2872-J2872</f>
        <v>6701104.79</v>
      </c>
      <c r="L2872" s="95">
        <f>+L2871-G2872</f>
        <v>0</v>
      </c>
      <c r="M2872" s="96"/>
      <c r="N2872" s="96"/>
      <c r="O2872" s="130"/>
      <c r="P2872" s="126">
        <v>830389052</v>
      </c>
      <c r="Q2872" s="127">
        <v>44166</v>
      </c>
      <c r="R2872" s="29">
        <v>350000</v>
      </c>
      <c r="S2872" s="29">
        <v>448000</v>
      </c>
      <c r="T2872" s="30"/>
      <c r="U2872" s="146"/>
    </row>
    <row r="2873" spans="1:21" s="31" customFormat="1" ht="15" hidden="1" x14ac:dyDescent="0.25">
      <c r="B2873" s="139" t="s">
        <v>2712</v>
      </c>
      <c r="C2873" s="140"/>
      <c r="D2873" s="141">
        <v>19600000</v>
      </c>
      <c r="E2873" s="141">
        <f>+D2873</f>
        <v>19600000</v>
      </c>
      <c r="F2873" s="141"/>
      <c r="G2873" s="141"/>
      <c r="H2873" s="141"/>
      <c r="I2873" s="141"/>
      <c r="J2873" s="141"/>
      <c r="K2873" s="141"/>
      <c r="L2873" s="141">
        <f>+D2873</f>
        <v>19600000</v>
      </c>
      <c r="M2873" s="142"/>
      <c r="N2873" s="142"/>
      <c r="P2873" s="126"/>
      <c r="Q2873" s="126"/>
      <c r="R2873" s="29"/>
      <c r="S2873" s="29"/>
      <c r="T2873" s="30"/>
    </row>
    <row r="2874" spans="1:21" s="31" customFormat="1" ht="15" hidden="1" x14ac:dyDescent="0.25">
      <c r="B2874" s="89">
        <v>44144.125</v>
      </c>
      <c r="C2874" s="92" t="s">
        <v>2713</v>
      </c>
      <c r="D2874" s="23"/>
      <c r="E2874" s="91">
        <v>5600000</v>
      </c>
      <c r="F2874" s="93"/>
      <c r="G2874" s="93">
        <f>+E2874</f>
        <v>5600000</v>
      </c>
      <c r="H2874" s="94"/>
      <c r="I2874" s="94">
        <v>66487.63</v>
      </c>
      <c r="J2874" s="94">
        <v>48185.05</v>
      </c>
      <c r="K2874" s="25">
        <f>+G2874-H2874-I2874-J2874</f>
        <v>5485327.3200000003</v>
      </c>
      <c r="L2874" s="95">
        <f>+L2873-G2874</f>
        <v>14000000</v>
      </c>
      <c r="M2874" s="96"/>
      <c r="N2874" s="96"/>
      <c r="O2874" s="130">
        <f>+L2876-'[1]ANEXO 7 - PPTO VIG 2020'!T92</f>
        <v>0</v>
      </c>
      <c r="P2874" s="126">
        <v>46175026</v>
      </c>
      <c r="Q2874" s="127">
        <v>44105</v>
      </c>
      <c r="R2874" s="29">
        <v>268400</v>
      </c>
      <c r="S2874" s="29">
        <v>343500</v>
      </c>
      <c r="T2874" s="30"/>
      <c r="U2874" s="146"/>
    </row>
    <row r="2875" spans="1:21" s="31" customFormat="1" ht="15" hidden="1" x14ac:dyDescent="0.25">
      <c r="B2875" s="89">
        <v>44168.125</v>
      </c>
      <c r="C2875" s="92" t="s">
        <v>2714</v>
      </c>
      <c r="D2875" s="23"/>
      <c r="E2875" s="91">
        <v>7000000</v>
      </c>
      <c r="F2875" s="93"/>
      <c r="G2875" s="93">
        <f>+E2875</f>
        <v>7000000</v>
      </c>
      <c r="H2875" s="94"/>
      <c r="I2875" s="94">
        <v>238983.89</v>
      </c>
      <c r="J2875" s="94">
        <v>59911.32</v>
      </c>
      <c r="K2875" s="25">
        <f>+G2875-H2875-I2875-J2875</f>
        <v>6701104.79</v>
      </c>
      <c r="L2875" s="95">
        <f>+L2874-G2875</f>
        <v>7000000</v>
      </c>
      <c r="M2875" s="96"/>
      <c r="N2875" s="96"/>
      <c r="O2875" s="130"/>
      <c r="P2875" s="126">
        <v>46813053</v>
      </c>
      <c r="Q2875" s="127">
        <v>44136</v>
      </c>
      <c r="R2875" s="29">
        <v>350000</v>
      </c>
      <c r="S2875" s="29">
        <v>448000</v>
      </c>
      <c r="T2875" s="30"/>
      <c r="U2875" s="146"/>
    </row>
    <row r="2876" spans="1:21" s="31" customFormat="1" ht="15" hidden="1" x14ac:dyDescent="0.25">
      <c r="B2876" s="89">
        <v>44189.125</v>
      </c>
      <c r="C2876" s="92" t="s">
        <v>2715</v>
      </c>
      <c r="D2876" s="23"/>
      <c r="E2876" s="91">
        <v>7000000</v>
      </c>
      <c r="F2876" s="93"/>
      <c r="G2876" s="93">
        <f>+E2876</f>
        <v>7000000</v>
      </c>
      <c r="H2876" s="94"/>
      <c r="I2876" s="94">
        <v>238983.89</v>
      </c>
      <c r="J2876" s="94">
        <v>59911.32</v>
      </c>
      <c r="K2876" s="25">
        <f>+G2876-H2876-I2876-J2876</f>
        <v>6701104.79</v>
      </c>
      <c r="L2876" s="95">
        <f>+L2875-G2876</f>
        <v>0</v>
      </c>
      <c r="M2876" s="96"/>
      <c r="N2876" s="96"/>
      <c r="O2876" s="130"/>
      <c r="P2876" s="126">
        <v>47308121</v>
      </c>
      <c r="Q2876" s="127">
        <v>44166</v>
      </c>
      <c r="R2876" s="29">
        <v>350000</v>
      </c>
      <c r="S2876" s="29">
        <v>448000</v>
      </c>
      <c r="T2876" s="30"/>
      <c r="U2876" s="146"/>
    </row>
    <row r="2877" spans="1:21" s="31" customFormat="1" ht="15" hidden="1" x14ac:dyDescent="0.25">
      <c r="A2877" s="31">
        <v>2552020</v>
      </c>
      <c r="B2877" s="139" t="s">
        <v>2716</v>
      </c>
      <c r="C2877" s="140"/>
      <c r="D2877" s="141">
        <f>+'[1]ANEXO 7 - PPTO VIG 2020'!L68</f>
        <v>2667218400</v>
      </c>
      <c r="E2877" s="141">
        <f>+D2877</f>
        <v>2667218400</v>
      </c>
      <c r="F2877" s="141"/>
      <c r="G2877" s="141"/>
      <c r="H2877" s="141"/>
      <c r="I2877" s="141"/>
      <c r="J2877" s="141"/>
      <c r="K2877" s="141"/>
      <c r="L2877" s="141">
        <f>+D2877</f>
        <v>2667218400</v>
      </c>
      <c r="M2877" s="142"/>
      <c r="N2877" s="142"/>
      <c r="P2877" s="126"/>
      <c r="Q2877" s="126"/>
      <c r="R2877" s="29"/>
      <c r="S2877" s="29"/>
      <c r="T2877" s="30"/>
    </row>
    <row r="2878" spans="1:21" s="31" customFormat="1" ht="15" hidden="1" x14ac:dyDescent="0.25">
      <c r="B2878" s="89">
        <v>44140.125</v>
      </c>
      <c r="C2878" s="92" t="s">
        <v>2717</v>
      </c>
      <c r="D2878" s="23"/>
      <c r="E2878" s="91">
        <v>533443680</v>
      </c>
      <c r="F2878" s="93"/>
      <c r="G2878" s="93">
        <f>+E2878</f>
        <v>533443680</v>
      </c>
      <c r="H2878" s="94"/>
      <c r="I2878" s="94"/>
      <c r="J2878" s="94"/>
      <c r="K2878" s="25">
        <f>+G2878-H2878-I2878-J2878</f>
        <v>533443680</v>
      </c>
      <c r="L2878" s="95">
        <f>+L2877-G2878</f>
        <v>2133774720</v>
      </c>
      <c r="M2878" s="96"/>
      <c r="N2878" s="96"/>
      <c r="O2878" s="147">
        <f>+L2880-'[1]ANEXO 7 - PPTO VIG 2020'!T68</f>
        <v>0</v>
      </c>
      <c r="P2878" s="126">
        <v>46175026</v>
      </c>
      <c r="Q2878" s="127">
        <v>44105</v>
      </c>
      <c r="R2878" s="29">
        <v>268400</v>
      </c>
      <c r="S2878" s="29">
        <v>343500</v>
      </c>
      <c r="T2878" s="30"/>
      <c r="U2878" s="146"/>
    </row>
    <row r="2879" spans="1:21" s="31" customFormat="1" ht="15" hidden="1" x14ac:dyDescent="0.25">
      <c r="B2879" s="89">
        <v>44455.083333333336</v>
      </c>
      <c r="C2879" s="284" t="s">
        <v>2718</v>
      </c>
      <c r="D2879" s="285"/>
      <c r="E2879" s="203">
        <v>800165520</v>
      </c>
      <c r="F2879" s="201"/>
      <c r="G2879" s="201">
        <f>+E2879</f>
        <v>800165520</v>
      </c>
      <c r="H2879" s="202"/>
      <c r="I2879" s="202"/>
      <c r="J2879" s="202"/>
      <c r="K2879" s="204">
        <f>+G2879-H2879-I2879-J2879</f>
        <v>800165520</v>
      </c>
      <c r="L2879" s="95">
        <f>+L2878-G2879</f>
        <v>1333609200</v>
      </c>
      <c r="M2879" s="96"/>
      <c r="N2879" s="96"/>
      <c r="O2879" s="130"/>
      <c r="P2879" s="126">
        <v>52289121</v>
      </c>
      <c r="Q2879" s="261" t="s">
        <v>2719</v>
      </c>
      <c r="R2879" s="262"/>
      <c r="S2879" s="263"/>
      <c r="T2879" s="30"/>
      <c r="U2879" s="146"/>
    </row>
    <row r="2880" spans="1:21" s="31" customFormat="1" ht="15" x14ac:dyDescent="0.25">
      <c r="B2880" s="100">
        <v>44648.083333333336</v>
      </c>
      <c r="C2880" s="92" t="s">
        <v>2720</v>
      </c>
      <c r="D2880" s="23"/>
      <c r="E2880" s="91">
        <v>800165520</v>
      </c>
      <c r="F2880" s="93"/>
      <c r="G2880" s="93">
        <f>+E2880</f>
        <v>800165520</v>
      </c>
      <c r="H2880" s="94"/>
      <c r="I2880" s="94"/>
      <c r="J2880" s="94"/>
      <c r="K2880" s="25">
        <f>+G2880-H2880-I2880-J2880</f>
        <v>800165520</v>
      </c>
      <c r="L2880" s="95">
        <f>+L2879-G2880</f>
        <v>533443680</v>
      </c>
      <c r="M2880" s="96"/>
      <c r="N2880" s="96"/>
      <c r="O2880" s="130"/>
      <c r="P2880" s="126">
        <v>56432436</v>
      </c>
      <c r="Q2880" s="148">
        <v>44593</v>
      </c>
      <c r="R2880" s="29">
        <v>17797300</v>
      </c>
      <c r="S2880" s="29">
        <v>24268000</v>
      </c>
      <c r="T2880" s="30"/>
      <c r="U2880" s="146"/>
    </row>
    <row r="2881" spans="2:21" s="31" customFormat="1" ht="15" hidden="1" x14ac:dyDescent="0.25">
      <c r="B2881" s="139" t="s">
        <v>2721</v>
      </c>
      <c r="C2881" s="294"/>
      <c r="D2881" s="210">
        <v>5061333</v>
      </c>
      <c r="E2881" s="210">
        <f>+D2881</f>
        <v>5061333</v>
      </c>
      <c r="F2881" s="210"/>
      <c r="G2881" s="210"/>
      <c r="H2881" s="210"/>
      <c r="I2881" s="210"/>
      <c r="J2881" s="210"/>
      <c r="K2881" s="210"/>
      <c r="L2881" s="141">
        <f>+D2881</f>
        <v>5061333</v>
      </c>
      <c r="M2881" s="142"/>
      <c r="N2881" s="142"/>
      <c r="P2881" s="126"/>
      <c r="Q2881" s="126"/>
      <c r="R2881" s="29"/>
      <c r="S2881" s="29"/>
      <c r="T2881" s="30"/>
    </row>
    <row r="2882" spans="2:21" s="31" customFormat="1" ht="15" hidden="1" x14ac:dyDescent="0.25">
      <c r="B2882" s="89">
        <v>44148.125</v>
      </c>
      <c r="C2882" s="92" t="s">
        <v>2722</v>
      </c>
      <c r="D2882" s="23"/>
      <c r="E2882" s="91">
        <v>831996</v>
      </c>
      <c r="F2882" s="93"/>
      <c r="G2882" s="93">
        <f>+E2882</f>
        <v>831996</v>
      </c>
      <c r="H2882" s="94"/>
      <c r="I2882" s="94"/>
      <c r="J2882" s="94">
        <v>7120.85</v>
      </c>
      <c r="K2882" s="25">
        <f>+G2882-H2882-I2882-J2882</f>
        <v>824875.15</v>
      </c>
      <c r="L2882" s="95">
        <f>+L2881-G2882</f>
        <v>4229337</v>
      </c>
      <c r="M2882" s="96"/>
      <c r="N2882" s="96"/>
      <c r="O2882" s="130">
        <f>+L2885-'[1]ANEXO 7 - PPTO VIG 2020'!T93</f>
        <v>0</v>
      </c>
      <c r="P2882" s="126">
        <v>1033208339</v>
      </c>
      <c r="Q2882" s="127">
        <v>44105</v>
      </c>
      <c r="R2882" s="29">
        <v>109800</v>
      </c>
      <c r="S2882" s="29">
        <v>140500</v>
      </c>
      <c r="T2882" s="30"/>
      <c r="U2882" s="146"/>
    </row>
    <row r="2883" spans="2:21" s="31" customFormat="1" ht="15" hidden="1" x14ac:dyDescent="0.25">
      <c r="B2883" s="89">
        <v>44168.125</v>
      </c>
      <c r="C2883" s="92" t="s">
        <v>2723</v>
      </c>
      <c r="D2883" s="23"/>
      <c r="E2883" s="91">
        <v>2080000</v>
      </c>
      <c r="F2883" s="93"/>
      <c r="G2883" s="93">
        <f>+E2883</f>
        <v>2080000</v>
      </c>
      <c r="H2883" s="94"/>
      <c r="I2883" s="94"/>
      <c r="J2883" s="94">
        <v>17802.22</v>
      </c>
      <c r="K2883" s="25">
        <f>+G2883-H2883-I2883-J2883</f>
        <v>2062197.78</v>
      </c>
      <c r="L2883" s="95">
        <f>+L2882-G2883</f>
        <v>2149337</v>
      </c>
      <c r="M2883" s="96"/>
      <c r="N2883" s="96"/>
      <c r="O2883" s="130"/>
      <c r="P2883" s="126">
        <v>1033928844</v>
      </c>
      <c r="Q2883" s="127">
        <v>44136</v>
      </c>
      <c r="R2883" s="29">
        <v>109800</v>
      </c>
      <c r="S2883" s="29">
        <v>140500</v>
      </c>
      <c r="T2883" s="30"/>
      <c r="U2883" s="146"/>
    </row>
    <row r="2884" spans="2:21" s="31" customFormat="1" ht="15" hidden="1" x14ac:dyDescent="0.25">
      <c r="B2884" s="89">
        <v>44188.125</v>
      </c>
      <c r="C2884" s="92" t="s">
        <v>2724</v>
      </c>
      <c r="D2884" s="23"/>
      <c r="E2884" s="91">
        <v>2080000</v>
      </c>
      <c r="F2884" s="93"/>
      <c r="G2884" s="93">
        <f>+E2884</f>
        <v>2080000</v>
      </c>
      <c r="H2884" s="94"/>
      <c r="I2884" s="94"/>
      <c r="J2884" s="94">
        <v>17802.22</v>
      </c>
      <c r="K2884" s="25">
        <f>+G2884-H2884-I2884-J2884</f>
        <v>2062197.78</v>
      </c>
      <c r="L2884" s="95">
        <f>+L2883-G2884</f>
        <v>69337</v>
      </c>
      <c r="M2884" s="96"/>
      <c r="N2884" s="96"/>
      <c r="O2884" s="130"/>
      <c r="P2884" s="126">
        <v>1034360613</v>
      </c>
      <c r="Q2884" s="127">
        <v>44166</v>
      </c>
      <c r="R2884" s="29">
        <v>109800</v>
      </c>
      <c r="S2884" s="29">
        <v>140500</v>
      </c>
      <c r="T2884" s="30"/>
      <c r="U2884" s="146"/>
    </row>
    <row r="2885" spans="2:21" s="31" customFormat="1" ht="15" hidden="1" x14ac:dyDescent="0.25">
      <c r="B2885" s="89"/>
      <c r="C2885" s="92" t="s">
        <v>2047</v>
      </c>
      <c r="D2885" s="23"/>
      <c r="E2885" s="91">
        <v>69337</v>
      </c>
      <c r="F2885" s="93"/>
      <c r="G2885" s="93">
        <f>+E2885</f>
        <v>69337</v>
      </c>
      <c r="H2885" s="94"/>
      <c r="I2885" s="94"/>
      <c r="J2885" s="94"/>
      <c r="K2885" s="25">
        <f>+G2885-H2885-I2885-J2885</f>
        <v>69337</v>
      </c>
      <c r="L2885" s="95">
        <f>+L2884-G2885</f>
        <v>0</v>
      </c>
      <c r="M2885" s="96"/>
      <c r="N2885" s="96"/>
      <c r="O2885" s="130"/>
      <c r="P2885" s="126"/>
      <c r="Q2885" s="127"/>
      <c r="R2885" s="29"/>
      <c r="S2885" s="29"/>
      <c r="T2885" s="30"/>
      <c r="U2885" s="146"/>
    </row>
    <row r="2886" spans="2:21" s="31" customFormat="1" ht="15" hidden="1" x14ac:dyDescent="0.25">
      <c r="B2886" s="139" t="s">
        <v>2725</v>
      </c>
      <c r="C2886" s="140"/>
      <c r="D2886" s="141">
        <v>29333333</v>
      </c>
      <c r="E2886" s="141">
        <f>+D2886</f>
        <v>29333333</v>
      </c>
      <c r="F2886" s="141"/>
      <c r="G2886" s="141"/>
      <c r="H2886" s="141"/>
      <c r="I2886" s="141"/>
      <c r="J2886" s="141"/>
      <c r="K2886" s="141"/>
      <c r="L2886" s="141">
        <f>+D2886</f>
        <v>29333333</v>
      </c>
      <c r="M2886" s="142"/>
      <c r="N2886" s="142"/>
      <c r="P2886" s="126"/>
      <c r="Q2886" s="126"/>
      <c r="R2886" s="29"/>
      <c r="S2886" s="29"/>
      <c r="T2886" s="30"/>
    </row>
    <row r="2887" spans="2:21" s="31" customFormat="1" ht="15" hidden="1" x14ac:dyDescent="0.25">
      <c r="B2887" s="89">
        <v>44141.125</v>
      </c>
      <c r="C2887" s="92" t="s">
        <v>2726</v>
      </c>
      <c r="D2887" s="23"/>
      <c r="E2887" s="91">
        <v>5333333</v>
      </c>
      <c r="F2887" s="93"/>
      <c r="G2887" s="93">
        <f>+E2887</f>
        <v>5333333</v>
      </c>
      <c r="H2887" s="94"/>
      <c r="I2887" s="94"/>
      <c r="J2887" s="94">
        <v>45646.720000000001</v>
      </c>
      <c r="K2887" s="25">
        <f>+G2887-H2887-I2887-J2887</f>
        <v>5287686.28</v>
      </c>
      <c r="L2887" s="95">
        <f>+L2886-G2887</f>
        <v>24000000</v>
      </c>
      <c r="M2887" s="96"/>
      <c r="N2887" s="96"/>
      <c r="O2887" s="130">
        <f>+L2890-'[1]ANEXO 7 - PPTO VIG 2020'!T21</f>
        <v>0</v>
      </c>
      <c r="P2887" s="126">
        <v>1033018467</v>
      </c>
      <c r="Q2887" s="127">
        <v>44075</v>
      </c>
      <c r="R2887" s="29">
        <v>878800</v>
      </c>
      <c r="S2887" s="29">
        <v>1195300</v>
      </c>
      <c r="T2887" s="30"/>
      <c r="U2887" s="146"/>
    </row>
    <row r="2888" spans="2:21" s="31" customFormat="1" ht="15" hidden="1" x14ac:dyDescent="0.25">
      <c r="B2888" s="89">
        <v>44189.125</v>
      </c>
      <c r="C2888" s="92" t="s">
        <v>2727</v>
      </c>
      <c r="D2888" s="23"/>
      <c r="E2888" s="91">
        <v>8000000</v>
      </c>
      <c r="F2888" s="93"/>
      <c r="G2888" s="93">
        <f>+E2888</f>
        <v>8000000</v>
      </c>
      <c r="H2888" s="94"/>
      <c r="I2888" s="94">
        <v>248103.91</v>
      </c>
      <c r="J2888" s="94">
        <v>68470.080000000002</v>
      </c>
      <c r="K2888" s="25">
        <f>+G2888-H2888-I2888-J2888</f>
        <v>7683426.0099999998</v>
      </c>
      <c r="L2888" s="95">
        <f>+L2887-G2888</f>
        <v>16000000</v>
      </c>
      <c r="M2888" s="96"/>
      <c r="N2888" s="96"/>
      <c r="O2888" s="130"/>
      <c r="P2888" s="126">
        <v>1033019045</v>
      </c>
      <c r="Q2888" s="127">
        <v>44105</v>
      </c>
      <c r="R2888" s="29">
        <v>878800</v>
      </c>
      <c r="S2888" s="29">
        <v>1195300</v>
      </c>
      <c r="T2888" s="30"/>
      <c r="U2888" s="146"/>
    </row>
    <row r="2889" spans="2:21" s="31" customFormat="1" ht="15" hidden="1" x14ac:dyDescent="0.25">
      <c r="B2889" s="89">
        <v>44189.125</v>
      </c>
      <c r="C2889" s="92" t="s">
        <v>2728</v>
      </c>
      <c r="D2889" s="23"/>
      <c r="E2889" s="91">
        <v>8000000</v>
      </c>
      <c r="F2889" s="93"/>
      <c r="G2889" s="93">
        <f>+E2889</f>
        <v>8000000</v>
      </c>
      <c r="H2889" s="94"/>
      <c r="I2889" s="94">
        <v>248103.91</v>
      </c>
      <c r="J2889" s="94">
        <v>68470.080000000002</v>
      </c>
      <c r="K2889" s="25">
        <f>+G2889-H2889-I2889-J2889</f>
        <v>7683426.0099999998</v>
      </c>
      <c r="L2889" s="95">
        <f>+L2888-G2889</f>
        <v>8000000</v>
      </c>
      <c r="M2889" s="96"/>
      <c r="N2889" s="96"/>
      <c r="O2889" s="130"/>
      <c r="P2889" s="126">
        <v>1033998636</v>
      </c>
      <c r="Q2889" s="127">
        <v>44136</v>
      </c>
      <c r="R2889" s="29">
        <v>878800</v>
      </c>
      <c r="S2889" s="29">
        <v>1195300</v>
      </c>
      <c r="T2889" s="30"/>
      <c r="U2889" s="146"/>
    </row>
    <row r="2890" spans="2:21" s="31" customFormat="1" ht="15" hidden="1" x14ac:dyDescent="0.25">
      <c r="B2890" s="89">
        <v>44189.125</v>
      </c>
      <c r="C2890" s="92" t="s">
        <v>2729</v>
      </c>
      <c r="D2890" s="23"/>
      <c r="E2890" s="91">
        <v>8000000</v>
      </c>
      <c r="F2890" s="93"/>
      <c r="G2890" s="93">
        <f>+E2890</f>
        <v>8000000</v>
      </c>
      <c r="H2890" s="94"/>
      <c r="I2890" s="94">
        <v>248103.91</v>
      </c>
      <c r="J2890" s="94">
        <v>68470.080000000002</v>
      </c>
      <c r="K2890" s="25">
        <f>+G2890-H2890-I2890-J2890</f>
        <v>7683426.0099999998</v>
      </c>
      <c r="L2890" s="95">
        <f>+L2889-G2890</f>
        <v>0</v>
      </c>
      <c r="M2890" s="96"/>
      <c r="N2890" s="96"/>
      <c r="O2890" s="130"/>
      <c r="P2890" s="126">
        <v>1034055004</v>
      </c>
      <c r="Q2890" s="127">
        <v>44166</v>
      </c>
      <c r="R2890" s="29">
        <v>878800</v>
      </c>
      <c r="S2890" s="29">
        <v>1195300</v>
      </c>
      <c r="T2890" s="30"/>
      <c r="U2890" s="146"/>
    </row>
    <row r="2891" spans="2:21" s="31" customFormat="1" ht="15" hidden="1" x14ac:dyDescent="0.25">
      <c r="B2891" s="139" t="s">
        <v>2730</v>
      </c>
      <c r="C2891" s="140"/>
      <c r="D2891" s="141">
        <v>7675449196</v>
      </c>
      <c r="E2891" s="141">
        <f>+D2891</f>
        <v>7675449196</v>
      </c>
      <c r="F2891" s="141"/>
      <c r="G2891" s="141"/>
      <c r="H2891" s="141"/>
      <c r="I2891" s="141"/>
      <c r="J2891" s="141"/>
      <c r="K2891" s="141"/>
      <c r="L2891" s="141">
        <f>+D2891</f>
        <v>7675449196</v>
      </c>
      <c r="M2891" s="142"/>
      <c r="N2891" s="142"/>
      <c r="P2891" s="126"/>
      <c r="Q2891" s="126"/>
      <c r="R2891" s="29"/>
      <c r="S2891" s="29"/>
      <c r="T2891" s="30"/>
    </row>
    <row r="2892" spans="2:21" s="31" customFormat="1" ht="15" hidden="1" x14ac:dyDescent="0.25">
      <c r="B2892" s="89">
        <v>44140.125</v>
      </c>
      <c r="C2892" s="92" t="s">
        <v>2731</v>
      </c>
      <c r="D2892" s="23"/>
      <c r="E2892" s="91">
        <v>1535089839</v>
      </c>
      <c r="F2892" s="93"/>
      <c r="G2892" s="93">
        <f>+E2892</f>
        <v>1535089839</v>
      </c>
      <c r="H2892" s="94"/>
      <c r="I2892" s="94"/>
      <c r="J2892" s="94">
        <v>14828967.84</v>
      </c>
      <c r="K2892" s="25">
        <f>+G2892-H2892-I2892-J2892</f>
        <v>1520260871.1600001</v>
      </c>
      <c r="L2892" s="95">
        <f>+L2891-G2892</f>
        <v>6140359357</v>
      </c>
      <c r="M2892" s="96"/>
      <c r="N2892" s="96"/>
      <c r="O2892" s="130">
        <f>+L2894-'[1]ANEXO 7 - PPTO VIG 2020'!T18-'[1]ANEXO 7 - PPTO VIG 2020'!T74</f>
        <v>0</v>
      </c>
      <c r="P2892" s="126"/>
      <c r="Q2892" s="127"/>
      <c r="R2892" s="29"/>
      <c r="S2892" s="29"/>
      <c r="T2892" s="30"/>
      <c r="U2892" s="146"/>
    </row>
    <row r="2893" spans="2:21" s="31" customFormat="1" ht="15" hidden="1" x14ac:dyDescent="0.25">
      <c r="B2893" s="89">
        <v>44183.125</v>
      </c>
      <c r="C2893" s="92" t="s">
        <v>2732</v>
      </c>
      <c r="D2893" s="23"/>
      <c r="E2893" s="91">
        <v>3070179678</v>
      </c>
      <c r="F2893" s="93"/>
      <c r="G2893" s="93">
        <f>+E2893</f>
        <v>3070179678</v>
      </c>
      <c r="H2893" s="94"/>
      <c r="I2893" s="94"/>
      <c r="J2893" s="94">
        <v>14828967.84</v>
      </c>
      <c r="K2893" s="25">
        <f>+G2893-H2893-I2893-J2893</f>
        <v>3055350710.1599998</v>
      </c>
      <c r="L2893" s="95">
        <f>+L2892-G2893</f>
        <v>3070179679</v>
      </c>
      <c r="M2893" s="96"/>
      <c r="N2893" s="96"/>
      <c r="O2893" s="130"/>
      <c r="P2893" s="126"/>
      <c r="Q2893" s="127"/>
      <c r="R2893" s="29"/>
      <c r="S2893" s="29"/>
      <c r="T2893" s="30"/>
      <c r="U2893" s="146"/>
    </row>
    <row r="2894" spans="2:21" s="31" customFormat="1" ht="15" hidden="1" x14ac:dyDescent="0.25">
      <c r="B2894" s="89">
        <v>44351.083333333336</v>
      </c>
      <c r="C2894" s="92" t="s">
        <v>2733</v>
      </c>
      <c r="D2894" s="23"/>
      <c r="E2894" s="91">
        <v>3070179678</v>
      </c>
      <c r="F2894" s="93"/>
      <c r="G2894" s="93">
        <f>+E2894</f>
        <v>3070179678</v>
      </c>
      <c r="H2894" s="94"/>
      <c r="I2894" s="94"/>
      <c r="J2894" s="94"/>
      <c r="K2894" s="25">
        <f>+G2894-H2894-I2894-J2894</f>
        <v>3070179678</v>
      </c>
      <c r="L2894" s="95">
        <f>+L2893-G2894</f>
        <v>1</v>
      </c>
      <c r="M2894" s="96"/>
      <c r="N2894" s="96"/>
      <c r="O2894" s="130"/>
      <c r="P2894" s="126"/>
      <c r="Q2894" s="127"/>
      <c r="R2894" s="29"/>
      <c r="S2894" s="29"/>
      <c r="T2894" s="30"/>
      <c r="U2894" s="146"/>
    </row>
    <row r="2895" spans="2:21" s="31" customFormat="1" ht="15" hidden="1" x14ac:dyDescent="0.25">
      <c r="B2895" s="139" t="s">
        <v>2734</v>
      </c>
      <c r="C2895" s="140"/>
      <c r="D2895" s="141">
        <v>24000000</v>
      </c>
      <c r="E2895" s="141">
        <f>+D2895</f>
        <v>24000000</v>
      </c>
      <c r="F2895" s="141"/>
      <c r="G2895" s="141"/>
      <c r="H2895" s="141"/>
      <c r="I2895" s="141"/>
      <c r="J2895" s="141"/>
      <c r="K2895" s="141"/>
      <c r="L2895" s="141">
        <f>+D2895</f>
        <v>24000000</v>
      </c>
      <c r="M2895" s="142"/>
      <c r="N2895" s="142"/>
      <c r="P2895" s="126"/>
      <c r="Q2895" s="126"/>
      <c r="R2895" s="29"/>
      <c r="S2895" s="29"/>
      <c r="T2895" s="30"/>
    </row>
    <row r="2896" spans="2:21" s="31" customFormat="1" ht="15" hidden="1" x14ac:dyDescent="0.25">
      <c r="B2896" s="89">
        <v>44147.125</v>
      </c>
      <c r="C2896" s="92" t="s">
        <v>2735</v>
      </c>
      <c r="D2896" s="23"/>
      <c r="E2896" s="91">
        <v>6666667</v>
      </c>
      <c r="F2896" s="93"/>
      <c r="G2896" s="93">
        <f>+E2896</f>
        <v>6666667</v>
      </c>
      <c r="H2896" s="94"/>
      <c r="I2896" s="94">
        <v>187755.18</v>
      </c>
      <c r="J2896" s="94">
        <v>57058.400000000001</v>
      </c>
      <c r="K2896" s="25">
        <f>+G2896-H2896-I2896-J2896</f>
        <v>6421853.4199999999</v>
      </c>
      <c r="L2896" s="95">
        <f>+L2895-G2896</f>
        <v>17333333</v>
      </c>
      <c r="M2896" s="96"/>
      <c r="N2896" s="96"/>
      <c r="O2896" s="130">
        <f>+L2899-'[1]ANEXO 7 - PPTO VIG 2020'!T95</f>
        <v>0</v>
      </c>
      <c r="P2896" s="126"/>
      <c r="Q2896" s="127"/>
      <c r="R2896" s="29"/>
      <c r="S2896" s="29"/>
      <c r="T2896" s="30"/>
      <c r="U2896" s="146"/>
    </row>
    <row r="2897" spans="2:21" s="31" customFormat="1" ht="15" hidden="1" x14ac:dyDescent="0.25">
      <c r="B2897" s="89">
        <v>44182.125</v>
      </c>
      <c r="C2897" s="92" t="s">
        <v>2736</v>
      </c>
      <c r="D2897" s="23"/>
      <c r="E2897" s="91">
        <v>8000000</v>
      </c>
      <c r="F2897" s="93"/>
      <c r="G2897" s="93">
        <f>+E2897</f>
        <v>8000000</v>
      </c>
      <c r="H2897" s="94"/>
      <c r="I2897" s="94">
        <v>355263.89</v>
      </c>
      <c r="J2897" s="94">
        <v>68470.080000000002</v>
      </c>
      <c r="K2897" s="25">
        <f>+G2897-H2897-I2897-J2897</f>
        <v>7576266.0300000003</v>
      </c>
      <c r="L2897" s="95">
        <f>+L2896-G2897</f>
        <v>9333333</v>
      </c>
      <c r="M2897" s="96"/>
      <c r="N2897" s="96"/>
      <c r="O2897" s="130"/>
      <c r="P2897" s="126">
        <v>809550391</v>
      </c>
      <c r="Q2897" s="127">
        <v>44136</v>
      </c>
      <c r="R2897" s="29">
        <v>1500000</v>
      </c>
      <c r="S2897" s="29">
        <v>2040000</v>
      </c>
      <c r="T2897" s="30">
        <f>24000000*40%</f>
        <v>9600000</v>
      </c>
      <c r="U2897" s="146"/>
    </row>
    <row r="2898" spans="2:21" s="31" customFormat="1" ht="15" hidden="1" x14ac:dyDescent="0.25">
      <c r="B2898" s="89">
        <v>44187.125</v>
      </c>
      <c r="C2898" s="92" t="s">
        <v>2737</v>
      </c>
      <c r="D2898" s="23"/>
      <c r="E2898" s="91">
        <v>8000000</v>
      </c>
      <c r="F2898" s="93"/>
      <c r="G2898" s="93">
        <f>+E2898</f>
        <v>8000000</v>
      </c>
      <c r="H2898" s="94"/>
      <c r="I2898" s="94">
        <v>353838.9</v>
      </c>
      <c r="J2898" s="94">
        <v>68470.080000000002</v>
      </c>
      <c r="K2898" s="25">
        <f>+G2898-H2898-I2898-J2898</f>
        <v>7577691.0199999996</v>
      </c>
      <c r="L2898" s="95">
        <f>+L2897-G2898</f>
        <v>1333333</v>
      </c>
      <c r="M2898" s="96"/>
      <c r="N2898" s="96"/>
      <c r="O2898" s="130"/>
      <c r="P2898" s="126">
        <v>47177300</v>
      </c>
      <c r="Q2898" s="127">
        <v>44166</v>
      </c>
      <c r="R2898" s="29">
        <v>1500000</v>
      </c>
      <c r="S2898" s="29">
        <v>2040000</v>
      </c>
      <c r="T2898" s="30">
        <f>+T2897*12.5%</f>
        <v>1200000</v>
      </c>
      <c r="U2898" s="146"/>
    </row>
    <row r="2899" spans="2:21" s="31" customFormat="1" ht="15" hidden="1" x14ac:dyDescent="0.25">
      <c r="B2899" s="89"/>
      <c r="C2899" s="92" t="s">
        <v>2047</v>
      </c>
      <c r="D2899" s="23"/>
      <c r="E2899" s="91">
        <v>1333333</v>
      </c>
      <c r="F2899" s="93"/>
      <c r="G2899" s="93">
        <f>+E2899</f>
        <v>1333333</v>
      </c>
      <c r="H2899" s="94"/>
      <c r="I2899" s="94"/>
      <c r="J2899" s="94"/>
      <c r="K2899" s="25">
        <f>+G2899-H2899-I2899-J2899</f>
        <v>1333333</v>
      </c>
      <c r="L2899" s="95">
        <f>+L2898-G2899</f>
        <v>0</v>
      </c>
      <c r="M2899" s="96"/>
      <c r="N2899" s="96"/>
      <c r="O2899" s="130"/>
      <c r="P2899" s="126"/>
      <c r="Q2899" s="127"/>
      <c r="R2899" s="29"/>
      <c r="S2899" s="29"/>
      <c r="T2899" s="30"/>
      <c r="U2899" s="146"/>
    </row>
    <row r="2900" spans="2:21" s="31" customFormat="1" ht="15" hidden="1" x14ac:dyDescent="0.25">
      <c r="B2900" s="139" t="s">
        <v>2738</v>
      </c>
      <c r="C2900" s="140"/>
      <c r="D2900" s="141">
        <v>17160000</v>
      </c>
      <c r="E2900" s="141">
        <f>+D2900</f>
        <v>17160000</v>
      </c>
      <c r="F2900" s="141"/>
      <c r="G2900" s="141"/>
      <c r="H2900" s="141"/>
      <c r="I2900" s="141"/>
      <c r="J2900" s="141"/>
      <c r="K2900" s="141"/>
      <c r="L2900" s="141">
        <f>+D2900</f>
        <v>17160000</v>
      </c>
      <c r="M2900" s="142"/>
      <c r="N2900" s="142"/>
      <c r="P2900" s="126"/>
      <c r="Q2900" s="126"/>
      <c r="R2900" s="29"/>
      <c r="S2900" s="29"/>
      <c r="T2900" s="30">
        <f>+T2897*16%</f>
        <v>1536000</v>
      </c>
    </row>
    <row r="2901" spans="2:21" s="31" customFormat="1" ht="15" hidden="1" x14ac:dyDescent="0.25">
      <c r="B2901" s="89">
        <v>44168.125</v>
      </c>
      <c r="C2901" s="92" t="s">
        <v>2739</v>
      </c>
      <c r="D2901" s="23"/>
      <c r="E2901" s="91">
        <v>7800000</v>
      </c>
      <c r="F2901" s="93"/>
      <c r="G2901" s="93">
        <f>+E2901</f>
        <v>7800000</v>
      </c>
      <c r="H2901" s="94"/>
      <c r="I2901" s="94">
        <v>228538.65</v>
      </c>
      <c r="J2901" s="94">
        <v>66758.33</v>
      </c>
      <c r="K2901" s="25">
        <f>+G2901-H2901-I2901-J2901</f>
        <v>7504703.0199999996</v>
      </c>
      <c r="L2901" s="95">
        <f>+L2900-G2901</f>
        <v>9360000</v>
      </c>
      <c r="M2901" s="96"/>
      <c r="N2901" s="96"/>
      <c r="O2901" s="130">
        <f>+L2902-'[1]ANEXO 7 - PPTO VIG 2020'!T116</f>
        <v>0</v>
      </c>
      <c r="P2901" s="126">
        <v>9412597785</v>
      </c>
      <c r="Q2901" s="127">
        <v>44105</v>
      </c>
      <c r="R2901" s="29">
        <v>400000</v>
      </c>
      <c r="S2901" s="29">
        <v>512000</v>
      </c>
      <c r="T2901" s="30"/>
      <c r="U2901" s="146"/>
    </row>
    <row r="2902" spans="2:21" s="31" customFormat="1" ht="15" hidden="1" x14ac:dyDescent="0.25">
      <c r="B2902" s="89">
        <v>44193.125</v>
      </c>
      <c r="C2902" s="92" t="s">
        <v>2740</v>
      </c>
      <c r="D2902" s="23"/>
      <c r="E2902" s="91">
        <v>9360000</v>
      </c>
      <c r="F2902" s="93"/>
      <c r="G2902" s="93">
        <f>+E2902</f>
        <v>9360000</v>
      </c>
      <c r="H2902" s="94"/>
      <c r="I2902" s="94">
        <v>398502.61</v>
      </c>
      <c r="J2902" s="94">
        <v>80109.990000000005</v>
      </c>
      <c r="K2902" s="25">
        <f>+G2902-H2902-I2902-J2902</f>
        <v>8881387.4000000004</v>
      </c>
      <c r="L2902" s="95">
        <f>+L2901-G2902</f>
        <v>0</v>
      </c>
      <c r="M2902" s="96"/>
      <c r="N2902" s="96"/>
      <c r="O2902" s="130"/>
      <c r="P2902" s="126"/>
      <c r="Q2902" s="127"/>
      <c r="R2902" s="29"/>
      <c r="S2902" s="29"/>
      <c r="T2902" s="30"/>
      <c r="U2902" s="146"/>
    </row>
    <row r="2903" spans="2:21" s="31" customFormat="1" ht="15" hidden="1" x14ac:dyDescent="0.25">
      <c r="B2903" s="139" t="s">
        <v>2741</v>
      </c>
      <c r="C2903" s="140"/>
      <c r="D2903" s="141">
        <v>20800000</v>
      </c>
      <c r="E2903" s="141">
        <f>+D2903</f>
        <v>20800000</v>
      </c>
      <c r="F2903" s="141"/>
      <c r="G2903" s="141"/>
      <c r="H2903" s="141"/>
      <c r="I2903" s="141"/>
      <c r="J2903" s="141"/>
      <c r="K2903" s="141"/>
      <c r="L2903" s="141">
        <f>+D2903</f>
        <v>20800000</v>
      </c>
      <c r="M2903" s="142"/>
      <c r="N2903" s="142"/>
      <c r="P2903" s="126"/>
      <c r="Q2903" s="126"/>
      <c r="R2903" s="29"/>
      <c r="S2903" s="29"/>
      <c r="T2903" s="30"/>
    </row>
    <row r="2904" spans="2:21" s="31" customFormat="1" ht="15" hidden="1" x14ac:dyDescent="0.25">
      <c r="B2904" s="89">
        <v>44175.125</v>
      </c>
      <c r="C2904" s="92" t="s">
        <v>2742</v>
      </c>
      <c r="D2904" s="23"/>
      <c r="E2904" s="91">
        <v>2080000</v>
      </c>
      <c r="F2904" s="93"/>
      <c r="G2904" s="93">
        <f>+E2904</f>
        <v>2080000</v>
      </c>
      <c r="H2904" s="94"/>
      <c r="I2904" s="94"/>
      <c r="J2904" s="94">
        <v>19088.16</v>
      </c>
      <c r="K2904" s="25">
        <f t="shared" ref="K2904:K2909" si="554">+G2904-H2904-I2904-J2904</f>
        <v>2060911.84</v>
      </c>
      <c r="L2904" s="95">
        <f>+L2903-G2904</f>
        <v>18720000</v>
      </c>
      <c r="M2904" s="96"/>
      <c r="N2904" s="96"/>
      <c r="O2904" s="130">
        <f>+L2907-'[1]ANEXO 7 - PPTO VIG 2020'!T94</f>
        <v>0</v>
      </c>
      <c r="P2904" s="126">
        <v>9412527510</v>
      </c>
      <c r="Q2904" s="127">
        <v>44075</v>
      </c>
      <c r="R2904" s="29">
        <v>114400</v>
      </c>
      <c r="S2904" s="29"/>
      <c r="T2904" s="30"/>
      <c r="U2904" s="146"/>
    </row>
    <row r="2905" spans="2:21" ht="15" hidden="1" x14ac:dyDescent="0.25">
      <c r="B2905" s="89">
        <v>44174.125</v>
      </c>
      <c r="C2905" s="92" t="s">
        <v>2743</v>
      </c>
      <c r="D2905" s="23"/>
      <c r="E2905" s="91">
        <v>6240000</v>
      </c>
      <c r="F2905" s="93"/>
      <c r="G2905" s="93">
        <f>+E2905</f>
        <v>6240000</v>
      </c>
      <c r="H2905" s="94"/>
      <c r="I2905" s="94">
        <v>111246.91</v>
      </c>
      <c r="J2905" s="94">
        <v>57264.480000000003</v>
      </c>
      <c r="K2905" s="25">
        <f t="shared" si="554"/>
        <v>6071488.6099999994</v>
      </c>
      <c r="L2905" s="95">
        <f>+L2904-G2905</f>
        <v>12480000</v>
      </c>
      <c r="M2905" s="96"/>
      <c r="N2905" s="96"/>
      <c r="P2905" s="55">
        <v>9412647866</v>
      </c>
      <c r="Q2905" s="97">
        <v>44105</v>
      </c>
      <c r="R2905" s="14">
        <v>312000</v>
      </c>
      <c r="S2905" s="14"/>
    </row>
    <row r="2906" spans="2:21" ht="15" hidden="1" x14ac:dyDescent="0.25">
      <c r="B2906" s="89">
        <v>44188.125</v>
      </c>
      <c r="C2906" s="92" t="s">
        <v>2744</v>
      </c>
      <c r="D2906" s="23"/>
      <c r="E2906" s="91">
        <v>6240000</v>
      </c>
      <c r="F2906" s="93"/>
      <c r="G2906" s="93">
        <f>+E2906</f>
        <v>6240000</v>
      </c>
      <c r="H2906" s="94"/>
      <c r="I2906" s="94">
        <v>111246.91</v>
      </c>
      <c r="J2906" s="94">
        <v>57264.480000000003</v>
      </c>
      <c r="K2906" s="25">
        <f>+G2906-H2906-I2906-J2906</f>
        <v>6071488.6099999994</v>
      </c>
      <c r="L2906" s="95">
        <f>+L2905-G2906</f>
        <v>6240000</v>
      </c>
      <c r="M2906" s="96"/>
      <c r="N2906" s="96"/>
      <c r="P2906" s="55">
        <v>9413180800</v>
      </c>
      <c r="Q2906" s="97">
        <v>44136</v>
      </c>
      <c r="R2906" s="14">
        <v>312000</v>
      </c>
      <c r="S2906" s="14"/>
    </row>
    <row r="2907" spans="2:21" ht="15" hidden="1" x14ac:dyDescent="0.25">
      <c r="B2907" s="89">
        <v>44278.083333333336</v>
      </c>
      <c r="C2907" s="92" t="s">
        <v>2745</v>
      </c>
      <c r="D2907" s="23"/>
      <c r="E2907" s="91">
        <v>6240000</v>
      </c>
      <c r="F2907" s="93"/>
      <c r="G2907" s="93">
        <f>+E2907</f>
        <v>6240000</v>
      </c>
      <c r="H2907" s="94"/>
      <c r="I2907" s="94">
        <v>98593.87</v>
      </c>
      <c r="J2907" s="94">
        <v>57264.480000000003</v>
      </c>
      <c r="K2907" s="25">
        <f>+G2907-H2907-I2907-J2907</f>
        <v>6084141.6499999994</v>
      </c>
      <c r="L2907" s="95">
        <f>+L2906-G2907</f>
        <v>0</v>
      </c>
      <c r="M2907" s="96"/>
      <c r="N2907" s="96"/>
      <c r="P2907" s="55"/>
      <c r="Q2907" s="97"/>
      <c r="R2907" s="14"/>
      <c r="S2907" s="14"/>
    </row>
    <row r="2908" spans="2:21" s="31" customFormat="1" ht="15" hidden="1" x14ac:dyDescent="0.25">
      <c r="B2908" s="139" t="s">
        <v>2746</v>
      </c>
      <c r="C2908" s="140"/>
      <c r="D2908" s="141">
        <v>400000000</v>
      </c>
      <c r="E2908" s="141">
        <f>+D2908</f>
        <v>400000000</v>
      </c>
      <c r="F2908" s="141"/>
      <c r="G2908" s="141"/>
      <c r="H2908" s="141"/>
      <c r="I2908" s="141"/>
      <c r="J2908" s="141"/>
      <c r="K2908" s="141"/>
      <c r="L2908" s="141">
        <f>+D2908</f>
        <v>400000000</v>
      </c>
      <c r="M2908" s="142"/>
      <c r="N2908" s="142"/>
      <c r="P2908" s="126"/>
      <c r="Q2908" s="126"/>
      <c r="R2908" s="29"/>
      <c r="S2908" s="29"/>
      <c r="T2908" s="30"/>
    </row>
    <row r="2909" spans="2:21" s="31" customFormat="1" ht="15" hidden="1" x14ac:dyDescent="0.25">
      <c r="B2909" s="89">
        <v>44174.125</v>
      </c>
      <c r="C2909" s="92" t="s">
        <v>2747</v>
      </c>
      <c r="D2909" s="23"/>
      <c r="E2909" s="91">
        <v>179764549</v>
      </c>
      <c r="F2909" s="93"/>
      <c r="G2909" s="93">
        <f>+E2909</f>
        <v>179764549</v>
      </c>
      <c r="H2909" s="94">
        <v>4305285.45</v>
      </c>
      <c r="I2909" s="94">
        <v>2887501.1</v>
      </c>
      <c r="J2909" s="94">
        <v>1459265.16</v>
      </c>
      <c r="K2909" s="25">
        <f t="shared" si="554"/>
        <v>171112497.29000002</v>
      </c>
      <c r="L2909" s="95">
        <f>+L2908-G2909</f>
        <v>220235451</v>
      </c>
      <c r="M2909" s="96"/>
      <c r="N2909" s="96"/>
      <c r="O2909" s="130">
        <f>+L2910-'[1]ANEXO 7 - PPTO VIG 2020'!T20</f>
        <v>0</v>
      </c>
      <c r="P2909" s="126"/>
      <c r="Q2909" s="127"/>
      <c r="R2909" s="29"/>
      <c r="S2909" s="29"/>
      <c r="T2909" s="30"/>
      <c r="U2909" s="146"/>
    </row>
    <row r="2910" spans="2:21" s="31" customFormat="1" ht="15" hidden="1" x14ac:dyDescent="0.25">
      <c r="B2910" s="89">
        <v>44201.125</v>
      </c>
      <c r="C2910" s="92" t="s">
        <v>2748</v>
      </c>
      <c r="D2910" s="23"/>
      <c r="E2910" s="91">
        <v>220235451</v>
      </c>
      <c r="F2910" s="93"/>
      <c r="G2910" s="93">
        <f>+E2910</f>
        <v>220235451</v>
      </c>
      <c r="H2910" s="94">
        <v>5274546.45</v>
      </c>
      <c r="I2910" s="94"/>
      <c r="J2910" s="94">
        <v>1787793.67</v>
      </c>
      <c r="K2910" s="25">
        <f>+G2910-H2910-I2910-J2910</f>
        <v>213173110.88000003</v>
      </c>
      <c r="L2910" s="95">
        <f>+L2909-G2910</f>
        <v>0</v>
      </c>
      <c r="M2910" s="96"/>
      <c r="N2910" s="96"/>
      <c r="O2910" s="130"/>
      <c r="P2910" s="126"/>
      <c r="Q2910" s="127"/>
      <c r="R2910" s="29"/>
      <c r="S2910" s="29"/>
      <c r="T2910" s="30"/>
      <c r="U2910" s="146"/>
    </row>
    <row r="2911" spans="2:21" s="31" customFormat="1" ht="15" hidden="1" x14ac:dyDescent="0.25">
      <c r="B2911" s="139" t="s">
        <v>2749</v>
      </c>
      <c r="C2911" s="140"/>
      <c r="D2911" s="141">
        <v>8000000</v>
      </c>
      <c r="E2911" s="141">
        <f>+D2911</f>
        <v>8000000</v>
      </c>
      <c r="F2911" s="141"/>
      <c r="G2911" s="141"/>
      <c r="H2911" s="141"/>
      <c r="I2911" s="141"/>
      <c r="J2911" s="141"/>
      <c r="K2911" s="141"/>
      <c r="L2911" s="141">
        <f>+D2911</f>
        <v>8000000</v>
      </c>
      <c r="M2911" s="142"/>
      <c r="N2911" s="142"/>
      <c r="P2911" s="126"/>
      <c r="Q2911" s="126"/>
      <c r="R2911" s="29"/>
      <c r="S2911" s="29"/>
      <c r="T2911" s="30">
        <f>7733333*40%</f>
        <v>3093333.2</v>
      </c>
    </row>
    <row r="2912" spans="2:21" s="31" customFormat="1" ht="15" hidden="1" x14ac:dyDescent="0.25">
      <c r="B2912" s="89">
        <v>44221.125</v>
      </c>
      <c r="C2912" s="92" t="s">
        <v>2750</v>
      </c>
      <c r="D2912" s="23"/>
      <c r="E2912" s="91">
        <v>7733333</v>
      </c>
      <c r="F2912" s="93"/>
      <c r="G2912" s="93">
        <f>+E2912</f>
        <v>7733333</v>
      </c>
      <c r="H2912" s="94"/>
      <c r="I2912" s="94"/>
      <c r="J2912" s="94">
        <v>125738.16</v>
      </c>
      <c r="K2912" s="25">
        <f>+G2912-H2912-I2912-J2912</f>
        <v>7607594.8399999999</v>
      </c>
      <c r="L2912" s="95">
        <f>+L2911-G2912</f>
        <v>266667</v>
      </c>
      <c r="M2912" s="96"/>
      <c r="N2912" s="96"/>
      <c r="O2912" s="130">
        <f>+L2913-'[1]ANEXO 7 - PPTO VIG 2020'!T115</f>
        <v>0</v>
      </c>
      <c r="P2912" s="126">
        <v>7773866766</v>
      </c>
      <c r="Q2912" s="127">
        <v>44166</v>
      </c>
      <c r="R2912" s="29">
        <v>380700</v>
      </c>
      <c r="S2912" s="29">
        <v>487300</v>
      </c>
      <c r="T2912" s="30">
        <f>+T2911*12.5%</f>
        <v>386666.65</v>
      </c>
      <c r="U2912" s="146">
        <f>+R2912-T2912</f>
        <v>-5966.6500000000233</v>
      </c>
    </row>
    <row r="2913" spans="1:21" s="31" customFormat="1" ht="15" hidden="1" x14ac:dyDescent="0.25">
      <c r="B2913" s="89"/>
      <c r="C2913" s="92" t="s">
        <v>2223</v>
      </c>
      <c r="D2913" s="23"/>
      <c r="E2913" s="91">
        <v>266667</v>
      </c>
      <c r="F2913" s="93"/>
      <c r="G2913" s="93">
        <f>+E2913</f>
        <v>266667</v>
      </c>
      <c r="H2913" s="94"/>
      <c r="I2913" s="94"/>
      <c r="J2913" s="94"/>
      <c r="K2913" s="25">
        <f>+G2913-H2913-I2913-J2913</f>
        <v>266667</v>
      </c>
      <c r="L2913" s="95">
        <f>+L2912-G2913</f>
        <v>0</v>
      </c>
      <c r="M2913" s="96"/>
      <c r="N2913" s="96"/>
      <c r="O2913" s="130"/>
      <c r="P2913" s="126"/>
      <c r="Q2913" s="127"/>
      <c r="R2913" s="29"/>
      <c r="S2913" s="29"/>
      <c r="T2913" s="30"/>
      <c r="U2913" s="146"/>
    </row>
    <row r="2914" spans="1:21" s="31" customFormat="1" ht="15" hidden="1" x14ac:dyDescent="0.25">
      <c r="B2914" s="139" t="s">
        <v>2751</v>
      </c>
      <c r="C2914" s="140"/>
      <c r="D2914" s="141">
        <v>4160000</v>
      </c>
      <c r="E2914" s="141">
        <f>+D2914</f>
        <v>4160000</v>
      </c>
      <c r="F2914" s="141"/>
      <c r="G2914" s="141"/>
      <c r="H2914" s="141"/>
      <c r="I2914" s="141"/>
      <c r="J2914" s="141"/>
      <c r="K2914" s="141"/>
      <c r="L2914" s="141">
        <f>+D2914</f>
        <v>4160000</v>
      </c>
      <c r="M2914" s="142"/>
      <c r="N2914" s="142"/>
      <c r="P2914" s="126"/>
      <c r="Q2914" s="126"/>
      <c r="R2914" s="29"/>
      <c r="S2914" s="29"/>
      <c r="T2914" s="30">
        <f>+T2911*16%</f>
        <v>494933.31200000003</v>
      </c>
      <c r="U2914" s="146">
        <f>+S2912-T2914</f>
        <v>-7633.3120000000345</v>
      </c>
    </row>
    <row r="2915" spans="1:21" s="31" customFormat="1" ht="15" hidden="1" x14ac:dyDescent="0.25">
      <c r="B2915" s="89">
        <v>44189.125</v>
      </c>
      <c r="C2915" s="92" t="s">
        <v>2752</v>
      </c>
      <c r="D2915" s="23"/>
      <c r="E2915" s="91">
        <v>4021333</v>
      </c>
      <c r="F2915" s="93"/>
      <c r="G2915" s="93">
        <f>+E2915</f>
        <v>4021333</v>
      </c>
      <c r="H2915" s="94"/>
      <c r="I2915" s="94"/>
      <c r="J2915" s="94">
        <v>34417.620000000003</v>
      </c>
      <c r="K2915" s="25">
        <f>+G2915-H2915-I2915-J2915</f>
        <v>3986915.38</v>
      </c>
      <c r="L2915" s="95">
        <f>+L2914-G2915</f>
        <v>138667</v>
      </c>
      <c r="M2915" s="96"/>
      <c r="N2915" s="96"/>
      <c r="O2915" s="130">
        <f>+L2916-'[1]ANEXO 7 - PPTO VIG 2020'!T58</f>
        <v>0</v>
      </c>
      <c r="P2915" s="126"/>
      <c r="Q2915" s="127"/>
      <c r="R2915" s="29"/>
      <c r="S2915" s="29"/>
      <c r="T2915" s="30"/>
      <c r="U2915" s="146"/>
    </row>
    <row r="2916" spans="1:21" s="31" customFormat="1" ht="15" hidden="1" x14ac:dyDescent="0.25">
      <c r="B2916" s="89"/>
      <c r="C2916" s="92" t="s">
        <v>2047</v>
      </c>
      <c r="D2916" s="23"/>
      <c r="E2916" s="91">
        <v>138667</v>
      </c>
      <c r="F2916" s="93"/>
      <c r="G2916" s="93">
        <f>+E2916</f>
        <v>138667</v>
      </c>
      <c r="H2916" s="94"/>
      <c r="I2916" s="94"/>
      <c r="J2916" s="94"/>
      <c r="K2916" s="25">
        <f>+G2916-H2916-I2916-J2916</f>
        <v>138667</v>
      </c>
      <c r="L2916" s="95">
        <f>+L2915-G2916</f>
        <v>0</v>
      </c>
      <c r="M2916" s="96"/>
      <c r="N2916" s="96"/>
      <c r="O2916" s="130"/>
      <c r="P2916" s="126"/>
      <c r="Q2916" s="127"/>
      <c r="R2916" s="29"/>
      <c r="S2916" s="29"/>
      <c r="T2916" s="30"/>
      <c r="U2916" s="146"/>
    </row>
    <row r="2917" spans="1:21" s="31" customFormat="1" ht="15" hidden="1" x14ac:dyDescent="0.25">
      <c r="B2917" s="139" t="s">
        <v>2753</v>
      </c>
      <c r="C2917" s="140"/>
      <c r="D2917" s="141">
        <v>5700000</v>
      </c>
      <c r="E2917" s="141">
        <f>+D2917</f>
        <v>5700000</v>
      </c>
      <c r="F2917" s="141"/>
      <c r="G2917" s="141"/>
      <c r="H2917" s="141"/>
      <c r="I2917" s="141"/>
      <c r="J2917" s="141"/>
      <c r="K2917" s="141"/>
      <c r="L2917" s="141">
        <f>+D2917</f>
        <v>5700000</v>
      </c>
      <c r="M2917" s="142"/>
      <c r="N2917" s="142"/>
      <c r="P2917" s="126"/>
      <c r="Q2917" s="126"/>
      <c r="R2917" s="29"/>
      <c r="S2917" s="29"/>
      <c r="T2917" s="30"/>
    </row>
    <row r="2918" spans="1:21" s="31" customFormat="1" ht="15" hidden="1" x14ac:dyDescent="0.25">
      <c r="B2918" s="89">
        <v>44209.125</v>
      </c>
      <c r="C2918" s="92" t="s">
        <v>2754</v>
      </c>
      <c r="D2918" s="23"/>
      <c r="E2918" s="91">
        <v>5383333</v>
      </c>
      <c r="F2918" s="93"/>
      <c r="G2918" s="93">
        <f t="shared" ref="G2918:G2929" si="555">+E2918</f>
        <v>5383333</v>
      </c>
      <c r="H2918" s="94"/>
      <c r="I2918" s="94"/>
      <c r="J2918" s="94"/>
      <c r="K2918" s="25">
        <f>+G2918-H2918-I2918-J2918</f>
        <v>5383333</v>
      </c>
      <c r="L2918" s="95">
        <f>+L2917-G2918</f>
        <v>316667</v>
      </c>
      <c r="M2918" s="96"/>
      <c r="N2918" s="96"/>
      <c r="O2918" s="130">
        <f>+L2919-'[1]ANEXO 7 - PPTO VIG 2020'!T59</f>
        <v>0</v>
      </c>
      <c r="P2918" s="126">
        <v>1034432624</v>
      </c>
      <c r="Q2918" s="127">
        <v>44166</v>
      </c>
      <c r="R2918" s="29">
        <v>285000</v>
      </c>
      <c r="S2918" s="29">
        <v>364800</v>
      </c>
      <c r="T2918" s="30"/>
      <c r="U2918" s="146"/>
    </row>
    <row r="2919" spans="1:21" s="31" customFormat="1" ht="15" hidden="1" x14ac:dyDescent="0.25">
      <c r="B2919" s="89"/>
      <c r="C2919" s="92" t="s">
        <v>2047</v>
      </c>
      <c r="D2919" s="23"/>
      <c r="E2919" s="91">
        <v>316667</v>
      </c>
      <c r="F2919" s="93"/>
      <c r="G2919" s="93">
        <f t="shared" si="555"/>
        <v>316667</v>
      </c>
      <c r="H2919" s="94"/>
      <c r="I2919" s="94"/>
      <c r="J2919" s="94"/>
      <c r="K2919" s="25">
        <f t="shared" ref="K2919:K2925" si="556">+G2919-H2919-I2919-J2919</f>
        <v>316667</v>
      </c>
      <c r="L2919" s="95">
        <f>+L2918-G2919</f>
        <v>0</v>
      </c>
      <c r="M2919" s="96"/>
      <c r="N2919" s="96"/>
      <c r="O2919" s="130"/>
      <c r="P2919" s="126"/>
      <c r="Q2919" s="127"/>
      <c r="R2919" s="29"/>
      <c r="S2919" s="29"/>
      <c r="T2919" s="30"/>
      <c r="U2919" s="146"/>
    </row>
    <row r="2920" spans="1:21" s="31" customFormat="1" ht="15" hidden="1" x14ac:dyDescent="0.25">
      <c r="B2920" s="139" t="s">
        <v>2755</v>
      </c>
      <c r="C2920" s="140"/>
      <c r="D2920" s="141">
        <v>14000000</v>
      </c>
      <c r="E2920" s="141">
        <f>+D2920</f>
        <v>14000000</v>
      </c>
      <c r="F2920" s="141"/>
      <c r="G2920" s="141"/>
      <c r="H2920" s="141"/>
      <c r="I2920" s="141"/>
      <c r="J2920" s="141"/>
      <c r="K2920" s="141"/>
      <c r="L2920" s="141">
        <f>+D2920</f>
        <v>14000000</v>
      </c>
      <c r="M2920" s="142"/>
      <c r="N2920" s="142"/>
      <c r="P2920" s="126"/>
      <c r="Q2920" s="126"/>
      <c r="R2920" s="29"/>
      <c r="S2920" s="29"/>
      <c r="T2920" s="30"/>
    </row>
    <row r="2921" spans="1:21" s="31" customFormat="1" ht="20.25" hidden="1" customHeight="1" x14ac:dyDescent="0.25">
      <c r="B2921" s="89">
        <v>44200.125</v>
      </c>
      <c r="C2921" s="92" t="s">
        <v>2756</v>
      </c>
      <c r="D2921" s="23"/>
      <c r="E2921" s="91">
        <v>4200000</v>
      </c>
      <c r="F2921" s="93"/>
      <c r="G2921" s="93">
        <f t="shared" si="555"/>
        <v>4200000</v>
      </c>
      <c r="H2921" s="94"/>
      <c r="I2921" s="94"/>
      <c r="J2921" s="94">
        <v>35946.79</v>
      </c>
      <c r="K2921" s="25">
        <f t="shared" si="556"/>
        <v>4164053.21</v>
      </c>
      <c r="L2921" s="95">
        <f>+L2920-G2921</f>
        <v>9800000</v>
      </c>
      <c r="M2921" s="96"/>
      <c r="N2921" s="96"/>
      <c r="O2921" s="130">
        <f>+L2923-'[1]ANEXO 7 - PPTO VIG 2020'!T60</f>
        <v>0</v>
      </c>
      <c r="P2921" s="126"/>
      <c r="Q2921" s="127"/>
      <c r="R2921" s="29"/>
      <c r="S2921" s="29"/>
      <c r="T2921" s="30"/>
      <c r="U2921" s="146"/>
    </row>
    <row r="2922" spans="1:21" s="31" customFormat="1" ht="20.25" hidden="1" customHeight="1" x14ac:dyDescent="0.25">
      <c r="B2922" s="89">
        <v>44238.125</v>
      </c>
      <c r="C2922" s="92" t="s">
        <v>2757</v>
      </c>
      <c r="D2922" s="23"/>
      <c r="E2922" s="91">
        <v>7000000</v>
      </c>
      <c r="F2922" s="93"/>
      <c r="G2922" s="93">
        <f t="shared" si="555"/>
        <v>7000000</v>
      </c>
      <c r="H2922" s="94"/>
      <c r="I2922" s="94">
        <v>126580.83</v>
      </c>
      <c r="J2922" s="94">
        <v>59911.32</v>
      </c>
      <c r="K2922" s="25">
        <f>+G2922-H2922-I2922-J2922</f>
        <v>6813507.8499999996</v>
      </c>
      <c r="L2922" s="95">
        <f>+L2921-G2922</f>
        <v>2800000</v>
      </c>
      <c r="M2922" s="96"/>
      <c r="N2922" s="96"/>
      <c r="O2922" s="130"/>
      <c r="P2922" s="126"/>
      <c r="Q2922" s="127"/>
      <c r="R2922" s="29"/>
      <c r="S2922" s="29"/>
      <c r="T2922" s="30"/>
      <c r="U2922" s="146"/>
    </row>
    <row r="2923" spans="1:21" s="31" customFormat="1" ht="20.25" hidden="1" customHeight="1" x14ac:dyDescent="0.25">
      <c r="B2923" s="89"/>
      <c r="C2923" s="92" t="s">
        <v>654</v>
      </c>
      <c r="D2923" s="23"/>
      <c r="E2923" s="91">
        <v>2800000</v>
      </c>
      <c r="F2923" s="93"/>
      <c r="G2923" s="93">
        <f t="shared" si="555"/>
        <v>2800000</v>
      </c>
      <c r="H2923" s="94"/>
      <c r="I2923" s="94"/>
      <c r="J2923" s="94"/>
      <c r="K2923" s="25">
        <f>+G2923-H2923-I2923-J2923</f>
        <v>2800000</v>
      </c>
      <c r="L2923" s="95">
        <f>+L2922-G2923</f>
        <v>0</v>
      </c>
      <c r="M2923" s="96"/>
      <c r="N2923" s="96"/>
      <c r="O2923" s="130"/>
      <c r="P2923" s="126"/>
      <c r="Q2923" s="127"/>
      <c r="R2923" s="29"/>
      <c r="S2923" s="29"/>
      <c r="T2923" s="30"/>
      <c r="U2923" s="146"/>
    </row>
    <row r="2924" spans="1:21" s="31" customFormat="1" ht="15" hidden="1" x14ac:dyDescent="0.25">
      <c r="A2924" s="31" t="s">
        <v>2758</v>
      </c>
      <c r="B2924" s="139" t="s">
        <v>2759</v>
      </c>
      <c r="C2924" s="140"/>
      <c r="D2924" s="141">
        <v>5400000000</v>
      </c>
      <c r="E2924" s="141">
        <f>+D2924</f>
        <v>5400000000</v>
      </c>
      <c r="F2924" s="141"/>
      <c r="G2924" s="141"/>
      <c r="H2924" s="141"/>
      <c r="I2924" s="141"/>
      <c r="J2924" s="141"/>
      <c r="K2924" s="141"/>
      <c r="L2924" s="141">
        <f>+D2924</f>
        <v>5400000000</v>
      </c>
      <c r="M2924" s="142"/>
      <c r="N2924" s="142"/>
      <c r="P2924" s="126"/>
      <c r="Q2924" s="126"/>
      <c r="R2924" s="29"/>
      <c r="S2924" s="29"/>
      <c r="T2924" s="30"/>
    </row>
    <row r="2925" spans="1:21" s="31" customFormat="1" ht="15" hidden="1" x14ac:dyDescent="0.25">
      <c r="B2925" s="89">
        <v>44200.125</v>
      </c>
      <c r="C2925" s="92" t="s">
        <v>2760</v>
      </c>
      <c r="D2925" s="23"/>
      <c r="E2925" s="91">
        <v>1620000000</v>
      </c>
      <c r="F2925" s="93"/>
      <c r="G2925" s="93">
        <f t="shared" si="555"/>
        <v>1620000000</v>
      </c>
      <c r="H2925" s="94"/>
      <c r="I2925" s="94"/>
      <c r="J2925" s="94"/>
      <c r="K2925" s="25">
        <f t="shared" si="556"/>
        <v>1620000000</v>
      </c>
      <c r="L2925" s="95">
        <f>+L2924-G2925</f>
        <v>3780000000</v>
      </c>
      <c r="M2925" s="96"/>
      <c r="N2925" s="96"/>
      <c r="O2925" s="130">
        <f>+L2929-'[1]ANEXO 7 - PPTO VIG 2020'!T26-'[1]ANEXO 7 - PPTO VIG 2020'!T65-'[1]ANEXO 7 - PPTO VIG 2021'!AB41-'[1]ANEXO 7 - PPTO VIG 2021'!AB76</f>
        <v>0</v>
      </c>
      <c r="P2925" s="126"/>
      <c r="Q2925" s="127"/>
      <c r="R2925" s="29"/>
      <c r="S2925" s="29"/>
      <c r="T2925" s="30"/>
      <c r="U2925" s="146"/>
    </row>
    <row r="2926" spans="1:21" s="31" customFormat="1" ht="15" hidden="1" x14ac:dyDescent="0.25">
      <c r="B2926" s="89">
        <v>44334.083333333336</v>
      </c>
      <c r="C2926" s="92" t="s">
        <v>2761</v>
      </c>
      <c r="D2926" s="23"/>
      <c r="E2926" s="91">
        <v>1080000000</v>
      </c>
      <c r="F2926" s="93"/>
      <c r="G2926" s="93">
        <f t="shared" si="555"/>
        <v>1080000000</v>
      </c>
      <c r="H2926" s="94"/>
      <c r="I2926" s="94"/>
      <c r="J2926" s="94"/>
      <c r="K2926" s="25">
        <f>+G2926-H2926-I2926-J2926</f>
        <v>1080000000</v>
      </c>
      <c r="L2926" s="95">
        <f>+L2925-G2926</f>
        <v>2700000000</v>
      </c>
      <c r="M2926" s="20">
        <v>1080000000</v>
      </c>
      <c r="N2926" s="20">
        <f>+G2926-M2926</f>
        <v>0</v>
      </c>
      <c r="O2926" s="130"/>
      <c r="P2926" s="126"/>
      <c r="Q2926" s="127"/>
      <c r="R2926" s="29"/>
      <c r="S2926" s="29"/>
      <c r="T2926" s="30"/>
      <c r="U2926" s="146"/>
    </row>
    <row r="2927" spans="1:21" s="31" customFormat="1" ht="15" hidden="1" x14ac:dyDescent="0.25">
      <c r="B2927" s="89">
        <v>44516.125</v>
      </c>
      <c r="C2927" s="92" t="s">
        <v>2762</v>
      </c>
      <c r="D2927" s="23"/>
      <c r="E2927" s="91">
        <v>1320000000</v>
      </c>
      <c r="F2927" s="93"/>
      <c r="G2927" s="93">
        <f t="shared" si="555"/>
        <v>1320000000</v>
      </c>
      <c r="H2927" s="94"/>
      <c r="I2927" s="94"/>
      <c r="J2927" s="94"/>
      <c r="K2927" s="25">
        <f>+G2927-H2927-I2927-J2927</f>
        <v>1320000000</v>
      </c>
      <c r="L2927" s="95">
        <f>+L2926-G2927</f>
        <v>1380000000</v>
      </c>
      <c r="M2927" s="20"/>
      <c r="N2927" s="20"/>
      <c r="O2927" s="130"/>
      <c r="P2927" s="126"/>
      <c r="Q2927" s="127"/>
      <c r="R2927" s="29"/>
      <c r="S2927" s="29"/>
      <c r="T2927" s="30"/>
      <c r="U2927" s="146"/>
    </row>
    <row r="2928" spans="1:21" s="31" customFormat="1" ht="15" hidden="1" x14ac:dyDescent="0.25">
      <c r="B2928" s="89">
        <v>44516.125</v>
      </c>
      <c r="C2928" s="92" t="s">
        <v>2763</v>
      </c>
      <c r="D2928" s="23"/>
      <c r="E2928" s="91">
        <v>300000000</v>
      </c>
      <c r="F2928" s="93"/>
      <c r="G2928" s="93">
        <f t="shared" si="555"/>
        <v>300000000</v>
      </c>
      <c r="H2928" s="94"/>
      <c r="I2928" s="94"/>
      <c r="J2928" s="94"/>
      <c r="K2928" s="25">
        <f>+G2928-H2928-I2928-J2928</f>
        <v>300000000</v>
      </c>
      <c r="L2928" s="95">
        <f>+L2927-G2928</f>
        <v>1080000000</v>
      </c>
      <c r="M2928" s="20"/>
      <c r="N2928" s="20"/>
      <c r="O2928" s="130"/>
      <c r="P2928" s="126"/>
      <c r="Q2928" s="127"/>
      <c r="R2928" s="29"/>
      <c r="S2928" s="29"/>
      <c r="T2928" s="30"/>
      <c r="U2928" s="146"/>
    </row>
    <row r="2929" spans="1:24" s="31" customFormat="1" ht="15" hidden="1" x14ac:dyDescent="0.25">
      <c r="B2929" s="89">
        <v>44560.125</v>
      </c>
      <c r="C2929" s="92" t="s">
        <v>2764</v>
      </c>
      <c r="D2929" s="23"/>
      <c r="E2929" s="91">
        <v>1080000000</v>
      </c>
      <c r="F2929" s="93"/>
      <c r="G2929" s="93">
        <f t="shared" si="555"/>
        <v>1080000000</v>
      </c>
      <c r="H2929" s="94"/>
      <c r="I2929" s="94"/>
      <c r="J2929" s="94"/>
      <c r="K2929" s="25">
        <f>+G2929-H2929-I2929-J2929</f>
        <v>1080000000</v>
      </c>
      <c r="L2929" s="95">
        <f>+L2928-G2929</f>
        <v>0</v>
      </c>
      <c r="M2929" s="20"/>
      <c r="N2929" s="20"/>
      <c r="O2929" s="130"/>
      <c r="P2929" s="126"/>
      <c r="Q2929" s="127"/>
      <c r="R2929" s="29"/>
      <c r="S2929" s="29"/>
      <c r="T2929" s="30"/>
      <c r="U2929" s="146"/>
    </row>
    <row r="2930" spans="1:24" s="31" customFormat="1" ht="15" hidden="1" x14ac:dyDescent="0.25">
      <c r="A2930" s="31">
        <v>102021</v>
      </c>
      <c r="B2930" s="139" t="s">
        <v>2765</v>
      </c>
      <c r="C2930" s="140"/>
      <c r="D2930" s="141">
        <v>95200000</v>
      </c>
      <c r="E2930" s="141">
        <f>+D2930</f>
        <v>95200000</v>
      </c>
      <c r="F2930" s="141"/>
      <c r="G2930" s="141"/>
      <c r="H2930" s="141"/>
      <c r="I2930" s="141"/>
      <c r="J2930" s="141"/>
      <c r="K2930" s="141"/>
      <c r="L2930" s="141">
        <f>+D2930</f>
        <v>95200000</v>
      </c>
      <c r="M2930" s="142"/>
      <c r="N2930" s="142"/>
      <c r="P2930" s="126"/>
      <c r="Q2930" s="126"/>
      <c r="R2930" s="29"/>
      <c r="S2930" s="29"/>
      <c r="T2930" s="30"/>
    </row>
    <row r="2931" spans="1:24" s="31" customFormat="1" ht="15" hidden="1" x14ac:dyDescent="0.25">
      <c r="B2931" s="89">
        <v>44229.125</v>
      </c>
      <c r="C2931" s="92" t="s">
        <v>2766</v>
      </c>
      <c r="D2931" s="23"/>
      <c r="E2931" s="91">
        <v>6933333</v>
      </c>
      <c r="F2931" s="93"/>
      <c r="G2931" s="93">
        <f t="shared" ref="G2931:G2942" si="557">+E2931</f>
        <v>6933333</v>
      </c>
      <c r="H2931" s="94"/>
      <c r="I2931" s="94">
        <v>119341.82</v>
      </c>
      <c r="J2931" s="94">
        <v>59340.73</v>
      </c>
      <c r="K2931" s="25">
        <f t="shared" ref="K2931:K2942" si="558">+G2931-H2931-I2931-J2931</f>
        <v>6754650.4499999993</v>
      </c>
      <c r="L2931" s="95">
        <f t="shared" ref="L2931:L2942" si="559">+L2930-G2931</f>
        <v>88266667</v>
      </c>
      <c r="M2931" s="96"/>
      <c r="N2931" s="96"/>
      <c r="O2931" s="149">
        <f>+VLOOKUP(A2930,'[1]ANEXO 7 - PPTO VIG 2021'!$H$8:$AB$160,21,)-L2942</f>
        <v>-266667</v>
      </c>
      <c r="P2931" s="126">
        <v>47316211</v>
      </c>
      <c r="Q2931" s="127">
        <v>44166</v>
      </c>
      <c r="R2931" s="29">
        <v>312000</v>
      </c>
      <c r="S2931" s="29">
        <v>399400</v>
      </c>
      <c r="T2931" s="30">
        <f>+L2930-266667</f>
        <v>94933333</v>
      </c>
      <c r="U2931" s="146">
        <f>+T2931*40%</f>
        <v>37973333.200000003</v>
      </c>
    </row>
    <row r="2932" spans="1:24" s="31" customFormat="1" ht="15" hidden="1" x14ac:dyDescent="0.25">
      <c r="B2932" s="89">
        <v>44256.125</v>
      </c>
      <c r="C2932" s="92" t="s">
        <v>2767</v>
      </c>
      <c r="D2932" s="23"/>
      <c r="E2932" s="91">
        <v>8000000</v>
      </c>
      <c r="F2932" s="93"/>
      <c r="G2932" s="93">
        <f t="shared" si="557"/>
        <v>8000000</v>
      </c>
      <c r="H2932" s="94"/>
      <c r="I2932" s="94">
        <v>238286.61</v>
      </c>
      <c r="J2932" s="94">
        <v>68470.080000000002</v>
      </c>
      <c r="K2932" s="25">
        <f t="shared" si="558"/>
        <v>7693243.3099999996</v>
      </c>
      <c r="L2932" s="95">
        <f t="shared" si="559"/>
        <v>80266667</v>
      </c>
      <c r="M2932" s="96"/>
      <c r="N2932" s="96"/>
      <c r="O2932" s="130"/>
      <c r="P2932" s="126">
        <v>48499221</v>
      </c>
      <c r="Q2932" s="127">
        <v>44197</v>
      </c>
      <c r="R2932" s="29">
        <v>400000</v>
      </c>
      <c r="S2932" s="29">
        <v>512000</v>
      </c>
      <c r="T2932" s="30"/>
      <c r="U2932" s="146"/>
    </row>
    <row r="2933" spans="1:24" s="31" customFormat="1" ht="15" hidden="1" x14ac:dyDescent="0.25">
      <c r="B2933" s="89">
        <v>44292.083333333336</v>
      </c>
      <c r="C2933" s="92" t="s">
        <v>2768</v>
      </c>
      <c r="D2933" s="23"/>
      <c r="E2933" s="91">
        <v>8000000</v>
      </c>
      <c r="F2933" s="93"/>
      <c r="G2933" s="93">
        <f t="shared" si="557"/>
        <v>8000000</v>
      </c>
      <c r="H2933" s="94"/>
      <c r="I2933" s="91">
        <v>238286.61</v>
      </c>
      <c r="J2933" s="91">
        <v>68470.080000000002</v>
      </c>
      <c r="K2933" s="25">
        <f t="shared" si="558"/>
        <v>7693243.3099999996</v>
      </c>
      <c r="L2933" s="95">
        <f t="shared" si="559"/>
        <v>72266667</v>
      </c>
      <c r="M2933" s="96"/>
      <c r="N2933" s="96"/>
      <c r="O2933" s="130"/>
      <c r="P2933" s="126">
        <v>48587572</v>
      </c>
      <c r="Q2933" s="127">
        <v>44228</v>
      </c>
      <c r="R2933" s="29">
        <v>400000</v>
      </c>
      <c r="S2933" s="29">
        <v>512000</v>
      </c>
      <c r="T2933" s="30"/>
      <c r="U2933" s="146">
        <f>+U2931*12.5%</f>
        <v>4746666.6500000004</v>
      </c>
      <c r="V2933" s="150" t="s">
        <v>2769</v>
      </c>
    </row>
    <row r="2934" spans="1:24" s="31" customFormat="1" ht="15" hidden="1" x14ac:dyDescent="0.25">
      <c r="B2934" s="89">
        <v>44320.083333333336</v>
      </c>
      <c r="C2934" s="92" t="s">
        <v>2770</v>
      </c>
      <c r="D2934" s="23"/>
      <c r="E2934" s="91">
        <v>8000000</v>
      </c>
      <c r="F2934" s="93"/>
      <c r="G2934" s="93">
        <f t="shared" si="557"/>
        <v>8000000</v>
      </c>
      <c r="H2934" s="94"/>
      <c r="I2934" s="94">
        <v>238286.61</v>
      </c>
      <c r="J2934" s="94">
        <v>68470.080000000002</v>
      </c>
      <c r="K2934" s="25">
        <f t="shared" si="558"/>
        <v>7693243.3099999996</v>
      </c>
      <c r="L2934" s="95">
        <f t="shared" si="559"/>
        <v>64266667</v>
      </c>
      <c r="M2934" s="20">
        <v>8000000</v>
      </c>
      <c r="N2934" s="20">
        <f>+G2934-M2934</f>
        <v>0</v>
      </c>
      <c r="O2934" s="130"/>
      <c r="P2934" s="126">
        <v>49292244</v>
      </c>
      <c r="Q2934" s="127">
        <v>44256</v>
      </c>
      <c r="R2934" s="29">
        <v>400000</v>
      </c>
      <c r="S2934" s="29">
        <v>512000</v>
      </c>
      <c r="T2934" s="30"/>
      <c r="U2934" s="146">
        <f>+U2931*16%</f>
        <v>6075733.3120000008</v>
      </c>
      <c r="V2934" s="151" t="s">
        <v>2771</v>
      </c>
    </row>
    <row r="2935" spans="1:24" s="31" customFormat="1" ht="15" hidden="1" x14ac:dyDescent="0.25">
      <c r="B2935" s="89">
        <v>44349.083333333336</v>
      </c>
      <c r="C2935" s="92" t="s">
        <v>2772</v>
      </c>
      <c r="D2935" s="23"/>
      <c r="E2935" s="91">
        <v>8000000</v>
      </c>
      <c r="F2935" s="93"/>
      <c r="G2935" s="93">
        <f t="shared" si="557"/>
        <v>8000000</v>
      </c>
      <c r="H2935" s="94"/>
      <c r="I2935" s="94">
        <v>238286.61</v>
      </c>
      <c r="J2935" s="94">
        <v>68470.080000000002</v>
      </c>
      <c r="K2935" s="25">
        <f t="shared" si="558"/>
        <v>7693243.3099999996</v>
      </c>
      <c r="L2935" s="95">
        <f t="shared" si="559"/>
        <v>56266667</v>
      </c>
      <c r="M2935" s="20"/>
      <c r="N2935" s="20"/>
      <c r="O2935" s="130"/>
      <c r="P2935" s="126">
        <v>49962028</v>
      </c>
      <c r="Q2935" s="127">
        <v>44287</v>
      </c>
      <c r="R2935" s="29">
        <v>400000</v>
      </c>
      <c r="S2935" s="29">
        <v>512000</v>
      </c>
      <c r="T2935" s="30"/>
      <c r="U2935" s="146"/>
    </row>
    <row r="2936" spans="1:24" s="31" customFormat="1" ht="15" hidden="1" x14ac:dyDescent="0.25">
      <c r="B2936" s="89">
        <v>44383.083333333336</v>
      </c>
      <c r="C2936" s="92" t="s">
        <v>2773</v>
      </c>
      <c r="D2936" s="23"/>
      <c r="E2936" s="91">
        <v>8000000</v>
      </c>
      <c r="F2936" s="93"/>
      <c r="G2936" s="93">
        <f t="shared" si="557"/>
        <v>8000000</v>
      </c>
      <c r="H2936" s="94"/>
      <c r="I2936" s="94">
        <v>238286.61</v>
      </c>
      <c r="J2936" s="94">
        <v>68470.080000000002</v>
      </c>
      <c r="K2936" s="25">
        <f t="shared" si="558"/>
        <v>7693243.3099999996</v>
      </c>
      <c r="L2936" s="95">
        <f t="shared" si="559"/>
        <v>48266667</v>
      </c>
      <c r="M2936" s="20"/>
      <c r="N2936" s="20"/>
      <c r="O2936" s="130"/>
      <c r="P2936" s="126">
        <v>50615795</v>
      </c>
      <c r="Q2936" s="127">
        <v>44317</v>
      </c>
      <c r="R2936" s="29">
        <v>400000</v>
      </c>
      <c r="S2936" s="29">
        <v>512000</v>
      </c>
      <c r="T2936" s="30"/>
      <c r="U2936" s="146"/>
    </row>
    <row r="2937" spans="1:24" s="31" customFormat="1" ht="15" hidden="1" x14ac:dyDescent="0.25">
      <c r="B2937" s="89">
        <v>44411.083333333336</v>
      </c>
      <c r="C2937" s="92" t="s">
        <v>2774</v>
      </c>
      <c r="D2937" s="23"/>
      <c r="E2937" s="91">
        <v>8000000</v>
      </c>
      <c r="F2937" s="93"/>
      <c r="G2937" s="93">
        <f t="shared" si="557"/>
        <v>8000000</v>
      </c>
      <c r="H2937" s="94"/>
      <c r="I2937" s="94">
        <v>238286.61</v>
      </c>
      <c r="J2937" s="94">
        <v>68470.080000000002</v>
      </c>
      <c r="K2937" s="25">
        <f t="shared" si="558"/>
        <v>7693243.3099999996</v>
      </c>
      <c r="L2937" s="95">
        <f t="shared" si="559"/>
        <v>40266667</v>
      </c>
      <c r="M2937" s="20"/>
      <c r="N2937" s="20"/>
      <c r="O2937" s="130"/>
      <c r="P2937" s="126">
        <v>51280937</v>
      </c>
      <c r="Q2937" s="127">
        <v>44348</v>
      </c>
      <c r="R2937" s="29">
        <v>400000</v>
      </c>
      <c r="S2937" s="29">
        <v>512000</v>
      </c>
      <c r="T2937" s="30"/>
      <c r="U2937" s="146"/>
      <c r="W2937" s="31">
        <v>8000000</v>
      </c>
      <c r="X2937" s="131">
        <f>+E2937-W2937</f>
        <v>0</v>
      </c>
    </row>
    <row r="2938" spans="1:24" s="31" customFormat="1" ht="15" hidden="1" x14ac:dyDescent="0.25">
      <c r="B2938" s="89">
        <v>44441.083333333336</v>
      </c>
      <c r="C2938" s="92" t="s">
        <v>2775</v>
      </c>
      <c r="D2938" s="23"/>
      <c r="E2938" s="91">
        <v>8000000</v>
      </c>
      <c r="F2938" s="93"/>
      <c r="G2938" s="93">
        <f t="shared" si="557"/>
        <v>8000000</v>
      </c>
      <c r="H2938" s="94"/>
      <c r="I2938" s="94">
        <v>238286.61</v>
      </c>
      <c r="J2938" s="94">
        <v>68470.080000000002</v>
      </c>
      <c r="K2938" s="25">
        <f t="shared" si="558"/>
        <v>7693243.3099999996</v>
      </c>
      <c r="L2938" s="95">
        <f t="shared" si="559"/>
        <v>32266667</v>
      </c>
      <c r="M2938" s="20"/>
      <c r="N2938" s="20"/>
      <c r="O2938" s="130"/>
      <c r="P2938" s="126">
        <v>51965416</v>
      </c>
      <c r="Q2938" s="127">
        <v>44378</v>
      </c>
      <c r="R2938" s="29">
        <v>400000</v>
      </c>
      <c r="S2938" s="29">
        <v>512000</v>
      </c>
      <c r="T2938" s="30"/>
      <c r="U2938" s="146"/>
      <c r="X2938" s="131"/>
    </row>
    <row r="2939" spans="1:24" s="31" customFormat="1" ht="15" hidden="1" x14ac:dyDescent="0.25">
      <c r="B2939" s="89">
        <v>44476.083333333336</v>
      </c>
      <c r="C2939" s="92" t="s">
        <v>2776</v>
      </c>
      <c r="D2939" s="23"/>
      <c r="E2939" s="91">
        <v>8000000</v>
      </c>
      <c r="F2939" s="93"/>
      <c r="G2939" s="93">
        <f t="shared" si="557"/>
        <v>8000000</v>
      </c>
      <c r="H2939" s="94"/>
      <c r="I2939" s="94">
        <v>238286.61</v>
      </c>
      <c r="J2939" s="94">
        <v>68470.080000000002</v>
      </c>
      <c r="K2939" s="25">
        <f t="shared" si="558"/>
        <v>7693243.3099999996</v>
      </c>
      <c r="L2939" s="95">
        <f t="shared" si="559"/>
        <v>24266667</v>
      </c>
      <c r="M2939" s="20"/>
      <c r="N2939" s="20"/>
      <c r="O2939" s="130"/>
      <c r="P2939" s="126">
        <v>52641109</v>
      </c>
      <c r="Q2939" s="127">
        <v>44409</v>
      </c>
      <c r="R2939" s="29">
        <v>400000</v>
      </c>
      <c r="S2939" s="29">
        <v>512000</v>
      </c>
      <c r="T2939" s="30"/>
      <c r="U2939" s="146"/>
      <c r="X2939" s="131"/>
    </row>
    <row r="2940" spans="1:24" s="31" customFormat="1" ht="15" hidden="1" x14ac:dyDescent="0.25">
      <c r="B2940" s="89">
        <v>44504.083333333336</v>
      </c>
      <c r="C2940" s="92" t="s">
        <v>2777</v>
      </c>
      <c r="D2940" s="23"/>
      <c r="E2940" s="91">
        <v>8000000</v>
      </c>
      <c r="F2940" s="93"/>
      <c r="G2940" s="93">
        <f t="shared" si="557"/>
        <v>8000000</v>
      </c>
      <c r="H2940" s="94"/>
      <c r="I2940" s="94">
        <v>238286.61</v>
      </c>
      <c r="J2940" s="94">
        <v>68470.080000000002</v>
      </c>
      <c r="K2940" s="25">
        <f t="shared" si="558"/>
        <v>7693243.3099999996</v>
      </c>
      <c r="L2940" s="95">
        <f t="shared" si="559"/>
        <v>16266667</v>
      </c>
      <c r="M2940" s="20"/>
      <c r="N2940" s="20"/>
      <c r="O2940" s="130"/>
      <c r="P2940" s="126">
        <v>53347720</v>
      </c>
      <c r="Q2940" s="127">
        <v>44440</v>
      </c>
      <c r="R2940" s="29">
        <v>400000</v>
      </c>
      <c r="S2940" s="29">
        <v>512000</v>
      </c>
      <c r="T2940" s="30"/>
      <c r="U2940" s="146"/>
      <c r="X2940" s="131"/>
    </row>
    <row r="2941" spans="1:24" s="31" customFormat="1" ht="15" hidden="1" x14ac:dyDescent="0.25">
      <c r="B2941" s="89">
        <v>44533.125</v>
      </c>
      <c r="C2941" s="92" t="s">
        <v>2778</v>
      </c>
      <c r="D2941" s="23"/>
      <c r="E2941" s="91">
        <v>8000000</v>
      </c>
      <c r="F2941" s="93"/>
      <c r="G2941" s="93">
        <f t="shared" si="557"/>
        <v>8000000</v>
      </c>
      <c r="H2941" s="94"/>
      <c r="I2941" s="94">
        <v>238286.61</v>
      </c>
      <c r="J2941" s="94">
        <v>68470.080000000002</v>
      </c>
      <c r="K2941" s="25">
        <f t="shared" si="558"/>
        <v>7693243.3099999996</v>
      </c>
      <c r="L2941" s="95">
        <f t="shared" si="559"/>
        <v>8266667</v>
      </c>
      <c r="M2941" s="20"/>
      <c r="N2941" s="20"/>
      <c r="O2941" s="130"/>
      <c r="P2941" s="126">
        <v>53996847</v>
      </c>
      <c r="Q2941" s="127">
        <v>44470</v>
      </c>
      <c r="R2941" s="29">
        <v>400000</v>
      </c>
      <c r="S2941" s="29">
        <v>512000</v>
      </c>
      <c r="T2941" s="30"/>
      <c r="U2941" s="146"/>
      <c r="X2941" s="131"/>
    </row>
    <row r="2942" spans="1:24" s="31" customFormat="1" ht="15" hidden="1" x14ac:dyDescent="0.25">
      <c r="B2942" s="89">
        <v>44551.125</v>
      </c>
      <c r="C2942" s="92" t="s">
        <v>2779</v>
      </c>
      <c r="D2942" s="23"/>
      <c r="E2942" s="91">
        <v>8000000</v>
      </c>
      <c r="F2942" s="93"/>
      <c r="G2942" s="93">
        <f t="shared" si="557"/>
        <v>8000000</v>
      </c>
      <c r="H2942" s="94"/>
      <c r="I2942" s="94">
        <v>238286.61</v>
      </c>
      <c r="J2942" s="94">
        <v>68470.080000000002</v>
      </c>
      <c r="K2942" s="25">
        <f t="shared" si="558"/>
        <v>7693243.3099999996</v>
      </c>
      <c r="L2942" s="95">
        <f t="shared" si="559"/>
        <v>266667</v>
      </c>
      <c r="M2942" s="20"/>
      <c r="N2942" s="20"/>
      <c r="O2942" s="130"/>
      <c r="P2942" s="126">
        <v>54678092</v>
      </c>
      <c r="Q2942" s="127">
        <v>44501</v>
      </c>
      <c r="R2942" s="29">
        <v>400000</v>
      </c>
      <c r="S2942" s="29">
        <v>512000</v>
      </c>
      <c r="T2942" s="30"/>
      <c r="U2942" s="146"/>
      <c r="X2942" s="131"/>
    </row>
    <row r="2943" spans="1:24" s="31" customFormat="1" ht="15" hidden="1" x14ac:dyDescent="0.25">
      <c r="B2943" s="89"/>
      <c r="C2943" s="92"/>
      <c r="D2943" s="23"/>
      <c r="E2943" s="91"/>
      <c r="F2943" s="93"/>
      <c r="G2943" s="93"/>
      <c r="H2943" s="94"/>
      <c r="I2943" s="94"/>
      <c r="J2943" s="94"/>
      <c r="K2943" s="25"/>
      <c r="L2943" s="95"/>
      <c r="M2943" s="20"/>
      <c r="N2943" s="20"/>
      <c r="O2943" s="130"/>
      <c r="P2943" s="126">
        <v>55383227</v>
      </c>
      <c r="Q2943" s="127">
        <v>44531</v>
      </c>
      <c r="R2943" s="29">
        <v>400000</v>
      </c>
      <c r="S2943" s="29">
        <v>512000</v>
      </c>
      <c r="T2943" s="30"/>
      <c r="U2943" s="146"/>
      <c r="X2943" s="131"/>
    </row>
    <row r="2944" spans="1:24" s="31" customFormat="1" ht="15" hidden="1" x14ac:dyDescent="0.25">
      <c r="A2944" s="31">
        <v>82021</v>
      </c>
      <c r="B2944" s="139" t="s">
        <v>2780</v>
      </c>
      <c r="C2944" s="140"/>
      <c r="D2944" s="141">
        <v>107100000</v>
      </c>
      <c r="E2944" s="141">
        <f>+D2944</f>
        <v>107100000</v>
      </c>
      <c r="F2944" s="141"/>
      <c r="G2944" s="141"/>
      <c r="H2944" s="141"/>
      <c r="I2944" s="141"/>
      <c r="J2944" s="141"/>
      <c r="K2944" s="141"/>
      <c r="L2944" s="141">
        <f>+D2944</f>
        <v>107100000</v>
      </c>
      <c r="M2944" s="142"/>
      <c r="N2944" s="142"/>
      <c r="P2944" s="126"/>
      <c r="Q2944" s="127"/>
      <c r="R2944" s="152">
        <f>SUM(R2931:R2943)</f>
        <v>5112000</v>
      </c>
      <c r="S2944" s="123">
        <f>SUM(S2931:S2943)</f>
        <v>6543400</v>
      </c>
      <c r="T2944" s="30"/>
      <c r="U2944" s="146"/>
    </row>
    <row r="2945" spans="1:24" s="31" customFormat="1" ht="15" hidden="1" x14ac:dyDescent="0.25">
      <c r="B2945" s="89">
        <v>44230.125</v>
      </c>
      <c r="C2945" s="92" t="s">
        <v>2781</v>
      </c>
      <c r="D2945" s="23"/>
      <c r="E2945" s="91">
        <v>7800000</v>
      </c>
      <c r="F2945" s="93"/>
      <c r="G2945" s="93">
        <f t="shared" ref="G2945:G2956" si="560">+E2945</f>
        <v>7800000</v>
      </c>
      <c r="H2945" s="94"/>
      <c r="I2945" s="94">
        <v>326750.61</v>
      </c>
      <c r="J2945" s="94">
        <v>66758.33</v>
      </c>
      <c r="K2945" s="25">
        <f t="shared" ref="K2945:K2956" si="561">+G2945-H2945-I2945-J2945</f>
        <v>7406491.0599999996</v>
      </c>
      <c r="L2945" s="95">
        <f t="shared" ref="L2945:L2956" si="562">+L2944-G2945</f>
        <v>99300000</v>
      </c>
      <c r="M2945" s="96"/>
      <c r="N2945" s="96"/>
      <c r="O2945" s="149">
        <f>+VLOOKUP(A2944,'[1]ANEXO 7 - PPTO VIG 2021'!$H$8:$AB$160,21,)-L2956</f>
        <v>-300000</v>
      </c>
      <c r="P2945" s="126">
        <v>865606987</v>
      </c>
      <c r="Q2945" s="127">
        <v>44197</v>
      </c>
      <c r="R2945" s="29">
        <v>541400</v>
      </c>
      <c r="S2945" s="29">
        <v>576000</v>
      </c>
      <c r="T2945" s="30">
        <f>+L2944-300000</f>
        <v>106800000</v>
      </c>
      <c r="U2945" s="146">
        <f>+T2945*40%</f>
        <v>42720000</v>
      </c>
      <c r="V2945" s="146"/>
    </row>
    <row r="2946" spans="1:24" s="31" customFormat="1" ht="15" hidden="1" x14ac:dyDescent="0.25">
      <c r="B2946" s="89">
        <v>44259.125</v>
      </c>
      <c r="C2946" s="92" t="s">
        <v>2782</v>
      </c>
      <c r="D2946" s="23" t="s">
        <v>2783</v>
      </c>
      <c r="E2946" s="91">
        <v>9000000</v>
      </c>
      <c r="F2946" s="93"/>
      <c r="G2946" s="93">
        <f t="shared" si="560"/>
        <v>9000000</v>
      </c>
      <c r="H2946" s="94"/>
      <c r="I2946" s="94">
        <v>508736</v>
      </c>
      <c r="J2946" s="94">
        <v>77028.84</v>
      </c>
      <c r="K2946" s="25">
        <f t="shared" si="561"/>
        <v>8414235.1600000001</v>
      </c>
      <c r="L2946" s="95">
        <f t="shared" si="562"/>
        <v>90300000</v>
      </c>
      <c r="M2946" s="96"/>
      <c r="N2946" s="96"/>
      <c r="O2946" s="130"/>
      <c r="P2946" s="126">
        <v>48825937</v>
      </c>
      <c r="Q2946" s="127">
        <v>44228</v>
      </c>
      <c r="R2946" s="29">
        <v>541400</v>
      </c>
      <c r="S2946" s="29">
        <v>576000</v>
      </c>
      <c r="T2946" s="30"/>
      <c r="U2946" s="146"/>
      <c r="V2946" s="146"/>
    </row>
    <row r="2947" spans="1:24" s="31" customFormat="1" ht="15" hidden="1" x14ac:dyDescent="0.25">
      <c r="B2947" s="135">
        <v>44293.083333333336</v>
      </c>
      <c r="C2947" s="134" t="s">
        <v>2784</v>
      </c>
      <c r="D2947" s="23"/>
      <c r="E2947" s="91">
        <v>9000000</v>
      </c>
      <c r="F2947" s="93"/>
      <c r="G2947" s="93">
        <f t="shared" si="560"/>
        <v>9000000</v>
      </c>
      <c r="H2947" s="94"/>
      <c r="I2947" s="91">
        <v>508736</v>
      </c>
      <c r="J2947" s="91">
        <v>77028.84</v>
      </c>
      <c r="K2947" s="25">
        <f t="shared" si="561"/>
        <v>8414235.1600000001</v>
      </c>
      <c r="L2947" s="95">
        <f t="shared" si="562"/>
        <v>81300000</v>
      </c>
      <c r="M2947" s="96"/>
      <c r="N2947" s="96"/>
      <c r="O2947" s="130"/>
      <c r="P2947" s="126">
        <v>927729777</v>
      </c>
      <c r="Q2947" s="127">
        <v>44256</v>
      </c>
      <c r="R2947" s="29">
        <v>541400</v>
      </c>
      <c r="S2947" s="29">
        <v>576000</v>
      </c>
      <c r="T2947" s="30"/>
      <c r="U2947" s="146">
        <f>+U2945*12.5%</f>
        <v>5340000</v>
      </c>
      <c r="V2947" s="150" t="s">
        <v>2769</v>
      </c>
    </row>
    <row r="2948" spans="1:24" s="31" customFormat="1" ht="15" hidden="1" x14ac:dyDescent="0.25">
      <c r="B2948" s="89">
        <v>44321.083333333336</v>
      </c>
      <c r="C2948" s="92" t="s">
        <v>2785</v>
      </c>
      <c r="D2948" s="23"/>
      <c r="E2948" s="91">
        <v>9000000</v>
      </c>
      <c r="F2948" s="93"/>
      <c r="G2948" s="93">
        <f t="shared" si="560"/>
        <v>9000000</v>
      </c>
      <c r="H2948" s="94"/>
      <c r="I2948" s="94">
        <v>508736</v>
      </c>
      <c r="J2948" s="94">
        <v>77028.84</v>
      </c>
      <c r="K2948" s="25">
        <f t="shared" si="561"/>
        <v>8414235.1600000001</v>
      </c>
      <c r="L2948" s="95">
        <f t="shared" si="562"/>
        <v>72300000</v>
      </c>
      <c r="M2948" s="20">
        <v>9000000</v>
      </c>
      <c r="N2948" s="20">
        <f>+G2948-M2948</f>
        <v>0</v>
      </c>
      <c r="O2948" s="130"/>
      <c r="P2948" s="126">
        <v>50174853</v>
      </c>
      <c r="Q2948" s="127">
        <v>44287</v>
      </c>
      <c r="R2948" s="29">
        <v>541400</v>
      </c>
      <c r="S2948" s="29">
        <v>576000</v>
      </c>
      <c r="T2948" s="30"/>
      <c r="U2948" s="146">
        <f>+U2945*16%</f>
        <v>6835200</v>
      </c>
      <c r="V2948" s="151" t="s">
        <v>2771</v>
      </c>
    </row>
    <row r="2949" spans="1:24" s="31" customFormat="1" ht="15" hidden="1" x14ac:dyDescent="0.25">
      <c r="B2949" s="89">
        <v>44349.083333333336</v>
      </c>
      <c r="C2949" s="92" t="s">
        <v>2786</v>
      </c>
      <c r="D2949" s="23"/>
      <c r="E2949" s="91">
        <v>9000000</v>
      </c>
      <c r="F2949" s="93"/>
      <c r="G2949" s="93">
        <f t="shared" si="560"/>
        <v>9000000</v>
      </c>
      <c r="H2949" s="94"/>
      <c r="I2949" s="94">
        <v>508736</v>
      </c>
      <c r="J2949" s="94">
        <v>77028.84</v>
      </c>
      <c r="K2949" s="25">
        <f t="shared" si="561"/>
        <v>8414235.1600000001</v>
      </c>
      <c r="L2949" s="95">
        <f t="shared" si="562"/>
        <v>63300000</v>
      </c>
      <c r="M2949" s="20"/>
      <c r="N2949" s="20"/>
      <c r="O2949" s="130"/>
      <c r="P2949" s="126">
        <v>50476441</v>
      </c>
      <c r="Q2949" s="127">
        <v>44317</v>
      </c>
      <c r="R2949" s="29">
        <v>541400</v>
      </c>
      <c r="S2949" s="29">
        <v>576000</v>
      </c>
      <c r="T2949" s="30"/>
      <c r="U2949" s="146"/>
      <c r="V2949" s="146"/>
    </row>
    <row r="2950" spans="1:24" s="31" customFormat="1" ht="15" hidden="1" x14ac:dyDescent="0.25">
      <c r="B2950" s="89">
        <v>44383.083333333336</v>
      </c>
      <c r="C2950" s="92" t="s">
        <v>2787</v>
      </c>
      <c r="D2950" s="23"/>
      <c r="E2950" s="91">
        <v>9000000</v>
      </c>
      <c r="F2950" s="93"/>
      <c r="G2950" s="93">
        <f t="shared" si="560"/>
        <v>9000000</v>
      </c>
      <c r="H2950" s="94"/>
      <c r="I2950" s="94">
        <v>508736</v>
      </c>
      <c r="J2950" s="94">
        <v>77028.84</v>
      </c>
      <c r="K2950" s="25">
        <f t="shared" si="561"/>
        <v>8414235.1600000001</v>
      </c>
      <c r="L2950" s="95">
        <f t="shared" si="562"/>
        <v>54300000</v>
      </c>
      <c r="M2950" s="20"/>
      <c r="N2950" s="20"/>
      <c r="O2950" s="130"/>
      <c r="P2950" s="126">
        <v>51048028</v>
      </c>
      <c r="Q2950" s="127">
        <v>44348</v>
      </c>
      <c r="R2950" s="29">
        <v>541400</v>
      </c>
      <c r="S2950" s="29">
        <v>576000</v>
      </c>
      <c r="T2950" s="30"/>
      <c r="U2950" s="146"/>
      <c r="V2950" s="146"/>
    </row>
    <row r="2951" spans="1:24" s="31" customFormat="1" ht="15" hidden="1" x14ac:dyDescent="0.25">
      <c r="B2951" s="89">
        <v>44411.083333333336</v>
      </c>
      <c r="C2951" s="92" t="s">
        <v>2788</v>
      </c>
      <c r="D2951" s="23"/>
      <c r="E2951" s="91">
        <v>9000000</v>
      </c>
      <c r="F2951" s="93"/>
      <c r="G2951" s="93">
        <f t="shared" si="560"/>
        <v>9000000</v>
      </c>
      <c r="H2951" s="94"/>
      <c r="I2951" s="94">
        <v>508736</v>
      </c>
      <c r="J2951" s="94">
        <v>77028.84</v>
      </c>
      <c r="K2951" s="25">
        <f t="shared" si="561"/>
        <v>8414235.1600000001</v>
      </c>
      <c r="L2951" s="95">
        <f t="shared" si="562"/>
        <v>45300000</v>
      </c>
      <c r="M2951" s="20"/>
      <c r="N2951" s="20"/>
      <c r="O2951" s="130"/>
      <c r="P2951" s="126">
        <v>51850117</v>
      </c>
      <c r="Q2951" s="127">
        <v>44378</v>
      </c>
      <c r="R2951" s="29">
        <v>450000</v>
      </c>
      <c r="S2951" s="29">
        <v>576000</v>
      </c>
      <c r="T2951" s="30"/>
      <c r="U2951" s="146"/>
      <c r="V2951" s="146"/>
      <c r="W2951" s="31">
        <v>9000000</v>
      </c>
      <c r="X2951" s="131">
        <f>+E2951-W2951</f>
        <v>0</v>
      </c>
    </row>
    <row r="2952" spans="1:24" s="31" customFormat="1" ht="15" hidden="1" x14ac:dyDescent="0.25">
      <c r="B2952" s="89">
        <v>44445.083333333336</v>
      </c>
      <c r="C2952" s="92" t="s">
        <v>2789</v>
      </c>
      <c r="D2952" s="23"/>
      <c r="E2952" s="91">
        <v>9000000</v>
      </c>
      <c r="F2952" s="93"/>
      <c r="G2952" s="93">
        <f t="shared" si="560"/>
        <v>9000000</v>
      </c>
      <c r="H2952" s="94"/>
      <c r="I2952" s="94">
        <v>508736</v>
      </c>
      <c r="J2952" s="94">
        <v>77028.84</v>
      </c>
      <c r="K2952" s="25">
        <f t="shared" si="561"/>
        <v>8414235.1600000001</v>
      </c>
      <c r="L2952" s="95">
        <f t="shared" si="562"/>
        <v>36300000</v>
      </c>
      <c r="M2952" s="20"/>
      <c r="N2952" s="20"/>
      <c r="O2952" s="130"/>
      <c r="P2952" s="126">
        <v>52402513</v>
      </c>
      <c r="Q2952" s="127">
        <v>44409</v>
      </c>
      <c r="R2952" s="29">
        <v>450000</v>
      </c>
      <c r="S2952" s="29">
        <v>576000</v>
      </c>
      <c r="T2952" s="30"/>
      <c r="U2952" s="146"/>
      <c r="V2952" s="146"/>
      <c r="X2952" s="131"/>
    </row>
    <row r="2953" spans="1:24" s="31" customFormat="1" ht="15" hidden="1" x14ac:dyDescent="0.25">
      <c r="B2953" s="89">
        <v>44475.083333333336</v>
      </c>
      <c r="C2953" s="92" t="s">
        <v>2790</v>
      </c>
      <c r="D2953" s="23"/>
      <c r="E2953" s="91">
        <v>9000000</v>
      </c>
      <c r="F2953" s="93"/>
      <c r="G2953" s="93">
        <f t="shared" si="560"/>
        <v>9000000</v>
      </c>
      <c r="H2953" s="94"/>
      <c r="I2953" s="94">
        <v>508736</v>
      </c>
      <c r="J2953" s="94">
        <v>77028.84</v>
      </c>
      <c r="K2953" s="25">
        <f t="shared" si="561"/>
        <v>8414235.1600000001</v>
      </c>
      <c r="L2953" s="95">
        <f t="shared" si="562"/>
        <v>27300000</v>
      </c>
      <c r="M2953" s="20"/>
      <c r="N2953" s="20"/>
      <c r="O2953" s="130"/>
      <c r="P2953" s="126">
        <v>53364160</v>
      </c>
      <c r="Q2953" s="127">
        <v>44440</v>
      </c>
      <c r="R2953" s="29">
        <v>450000</v>
      </c>
      <c r="S2953" s="29">
        <v>576000</v>
      </c>
      <c r="T2953" s="30"/>
      <c r="U2953" s="146"/>
      <c r="V2953" s="146"/>
      <c r="X2953" s="131"/>
    </row>
    <row r="2954" spans="1:24" s="31" customFormat="1" ht="15" hidden="1" x14ac:dyDescent="0.25">
      <c r="B2954" s="89">
        <v>44508.125</v>
      </c>
      <c r="C2954" s="92" t="s">
        <v>2791</v>
      </c>
      <c r="D2954" s="23"/>
      <c r="E2954" s="91">
        <v>9000000</v>
      </c>
      <c r="F2954" s="93"/>
      <c r="G2954" s="93">
        <f t="shared" si="560"/>
        <v>9000000</v>
      </c>
      <c r="H2954" s="94"/>
      <c r="I2954" s="94">
        <v>508736</v>
      </c>
      <c r="J2954" s="94">
        <v>77028.84</v>
      </c>
      <c r="K2954" s="25">
        <f t="shared" si="561"/>
        <v>8414235.1600000001</v>
      </c>
      <c r="L2954" s="95">
        <f t="shared" si="562"/>
        <v>18300000</v>
      </c>
      <c r="M2954" s="20"/>
      <c r="N2954" s="20"/>
      <c r="O2954" s="130"/>
      <c r="P2954" s="126">
        <v>53940090</v>
      </c>
      <c r="Q2954" s="127">
        <v>44470</v>
      </c>
      <c r="R2954" s="29">
        <v>450000</v>
      </c>
      <c r="S2954" s="29">
        <v>576000</v>
      </c>
      <c r="T2954" s="30"/>
      <c r="U2954" s="146"/>
      <c r="V2954" s="146"/>
      <c r="X2954" s="131"/>
    </row>
    <row r="2955" spans="1:24" s="31" customFormat="1" ht="15" hidden="1" x14ac:dyDescent="0.25">
      <c r="B2955" s="89">
        <v>44533.125</v>
      </c>
      <c r="C2955" s="92" t="s">
        <v>2792</v>
      </c>
      <c r="D2955" s="23"/>
      <c r="E2955" s="91">
        <v>9000000</v>
      </c>
      <c r="F2955" s="93"/>
      <c r="G2955" s="93">
        <f t="shared" si="560"/>
        <v>9000000</v>
      </c>
      <c r="H2955" s="94"/>
      <c r="I2955" s="94">
        <v>508736</v>
      </c>
      <c r="J2955" s="94">
        <v>77028.84</v>
      </c>
      <c r="K2955" s="25">
        <f t="shared" si="561"/>
        <v>8414235.1600000001</v>
      </c>
      <c r="L2955" s="95">
        <f t="shared" si="562"/>
        <v>9300000</v>
      </c>
      <c r="M2955" s="20"/>
      <c r="N2955" s="20"/>
      <c r="O2955" s="130"/>
      <c r="P2955" s="126">
        <v>54902752</v>
      </c>
      <c r="Q2955" s="127">
        <v>44501</v>
      </c>
      <c r="R2955" s="29">
        <v>450000</v>
      </c>
      <c r="S2955" s="29">
        <v>576000</v>
      </c>
      <c r="T2955" s="30"/>
      <c r="U2955" s="146"/>
      <c r="V2955" s="146"/>
      <c r="X2955" s="131"/>
    </row>
    <row r="2956" spans="1:24" s="31" customFormat="1" ht="15" hidden="1" x14ac:dyDescent="0.25">
      <c r="B2956" s="89">
        <v>44551.125</v>
      </c>
      <c r="C2956" s="92" t="s">
        <v>2793</v>
      </c>
      <c r="D2956" s="23"/>
      <c r="E2956" s="91">
        <v>9000000</v>
      </c>
      <c r="F2956" s="93"/>
      <c r="G2956" s="93">
        <f t="shared" si="560"/>
        <v>9000000</v>
      </c>
      <c r="H2956" s="94"/>
      <c r="I2956" s="94">
        <v>508736</v>
      </c>
      <c r="J2956" s="94">
        <v>77028.84</v>
      </c>
      <c r="K2956" s="25">
        <f t="shared" si="561"/>
        <v>8414235.1600000001</v>
      </c>
      <c r="L2956" s="95">
        <f t="shared" si="562"/>
        <v>300000</v>
      </c>
      <c r="M2956" s="20"/>
      <c r="N2956" s="20"/>
      <c r="O2956" s="130"/>
      <c r="P2956" s="126">
        <v>55200841</v>
      </c>
      <c r="Q2956" s="127">
        <v>44531</v>
      </c>
      <c r="R2956" s="29">
        <v>450000</v>
      </c>
      <c r="S2956" s="29">
        <v>576000</v>
      </c>
      <c r="T2956" s="30"/>
      <c r="U2956" s="146"/>
      <c r="V2956" s="146"/>
      <c r="X2956" s="131"/>
    </row>
    <row r="2957" spans="1:24" s="31" customFormat="1" ht="15" hidden="1" x14ac:dyDescent="0.25">
      <c r="B2957" s="89"/>
      <c r="C2957" s="92"/>
      <c r="D2957" s="23"/>
      <c r="E2957" s="91"/>
      <c r="F2957" s="93"/>
      <c r="G2957" s="93"/>
      <c r="H2957" s="94"/>
      <c r="I2957" s="94"/>
      <c r="J2957" s="94"/>
      <c r="K2957" s="25"/>
      <c r="L2957" s="95"/>
      <c r="M2957" s="20"/>
      <c r="N2957" s="20"/>
      <c r="O2957" s="130"/>
      <c r="P2957" s="126"/>
      <c r="Q2957" s="127"/>
      <c r="R2957" s="152">
        <f>SUM(R2945:R2956)</f>
        <v>5948400</v>
      </c>
      <c r="S2957" s="123">
        <f>SUM(S2945:S2956)</f>
        <v>6912000</v>
      </c>
      <c r="T2957" s="30"/>
      <c r="U2957" s="146"/>
      <c r="V2957" s="146"/>
      <c r="X2957" s="131"/>
    </row>
    <row r="2958" spans="1:24" s="31" customFormat="1" ht="15" hidden="1" x14ac:dyDescent="0.25">
      <c r="A2958" s="31">
        <v>92021</v>
      </c>
      <c r="B2958" s="139" t="s">
        <v>2794</v>
      </c>
      <c r="C2958" s="140"/>
      <c r="D2958" s="141">
        <v>95200000</v>
      </c>
      <c r="E2958" s="141">
        <f>+D2958</f>
        <v>95200000</v>
      </c>
      <c r="F2958" s="141"/>
      <c r="G2958" s="141"/>
      <c r="H2958" s="141"/>
      <c r="I2958" s="141"/>
      <c r="J2958" s="141"/>
      <c r="K2958" s="141"/>
      <c r="L2958" s="141">
        <f>+D2958</f>
        <v>95200000</v>
      </c>
      <c r="M2958" s="142"/>
      <c r="N2958" s="142"/>
      <c r="P2958" s="126"/>
      <c r="Q2958" s="126"/>
      <c r="R2958" s="29"/>
      <c r="S2958" s="29"/>
      <c r="T2958" s="30"/>
    </row>
    <row r="2959" spans="1:24" s="31" customFormat="1" ht="15" hidden="1" x14ac:dyDescent="0.25">
      <c r="B2959" s="89">
        <v>44230.125</v>
      </c>
      <c r="C2959" s="92" t="s">
        <v>2795</v>
      </c>
      <c r="D2959" s="23"/>
      <c r="E2959" s="91">
        <v>6933333</v>
      </c>
      <c r="F2959" s="93"/>
      <c r="G2959" s="93">
        <f t="shared" ref="G2959:G2970" si="563">+E2959</f>
        <v>6933333</v>
      </c>
      <c r="H2959" s="94"/>
      <c r="I2959" s="94">
        <v>118638.82</v>
      </c>
      <c r="J2959" s="94">
        <v>59308.53</v>
      </c>
      <c r="K2959" s="25">
        <f t="shared" ref="K2959:K2970" si="564">+G2959-H2959-I2959-J2959</f>
        <v>6755385.6499999994</v>
      </c>
      <c r="L2959" s="95">
        <f t="shared" ref="L2959:L2970" si="565">+L2958-G2959</f>
        <v>88266667</v>
      </c>
      <c r="M2959" s="96"/>
      <c r="N2959" s="96"/>
      <c r="O2959" s="149">
        <f>+VLOOKUP(A2958,'[1]ANEXO 7 - PPTO VIG 2021'!$H$8:$AB$160,21,)-L2970</f>
        <v>-266667</v>
      </c>
      <c r="P2959" s="126">
        <v>47278349</v>
      </c>
      <c r="Q2959" s="127">
        <v>44166</v>
      </c>
      <c r="R2959" s="29">
        <v>350000</v>
      </c>
      <c r="S2959" s="29">
        <v>448000</v>
      </c>
      <c r="T2959" s="30"/>
      <c r="U2959" s="146"/>
      <c r="V2959" s="146"/>
    </row>
    <row r="2960" spans="1:24" s="31" customFormat="1" ht="15" hidden="1" x14ac:dyDescent="0.25">
      <c r="B2960" s="89">
        <v>44256.125</v>
      </c>
      <c r="C2960" s="92" t="s">
        <v>2796</v>
      </c>
      <c r="D2960" s="23"/>
      <c r="E2960" s="91">
        <v>8000000</v>
      </c>
      <c r="F2960" s="93"/>
      <c r="G2960" s="93">
        <f t="shared" si="563"/>
        <v>8000000</v>
      </c>
      <c r="H2960" s="94"/>
      <c r="I2960" s="94">
        <v>238286.61</v>
      </c>
      <c r="J2960" s="94">
        <v>68470.080000000002</v>
      </c>
      <c r="K2960" s="25">
        <f t="shared" si="564"/>
        <v>7693243.3099999996</v>
      </c>
      <c r="L2960" s="95">
        <f t="shared" si="565"/>
        <v>80266667</v>
      </c>
      <c r="M2960" s="96"/>
      <c r="N2960" s="96"/>
      <c r="O2960" s="153"/>
      <c r="P2960" s="126">
        <v>48403712</v>
      </c>
      <c r="Q2960" s="127">
        <v>44197</v>
      </c>
      <c r="R2960" s="29">
        <v>400000</v>
      </c>
      <c r="S2960" s="29">
        <v>512000</v>
      </c>
      <c r="T2960" s="30">
        <f>+L2958-266667</f>
        <v>94933333</v>
      </c>
      <c r="U2960" s="146">
        <f>+T2960*40%</f>
        <v>37973333.200000003</v>
      </c>
      <c r="V2960" s="146"/>
    </row>
    <row r="2961" spans="1:24" s="31" customFormat="1" ht="15" hidden="1" x14ac:dyDescent="0.25">
      <c r="B2961" s="89">
        <v>44293.083333333336</v>
      </c>
      <c r="C2961" s="92" t="s">
        <v>2797</v>
      </c>
      <c r="D2961" s="23"/>
      <c r="E2961" s="91">
        <v>8000000</v>
      </c>
      <c r="F2961" s="93"/>
      <c r="G2961" s="93">
        <f t="shared" si="563"/>
        <v>8000000</v>
      </c>
      <c r="H2961" s="94"/>
      <c r="I2961" s="91">
        <v>238286.61</v>
      </c>
      <c r="J2961" s="91">
        <v>68470.080000000002</v>
      </c>
      <c r="K2961" s="25">
        <f t="shared" si="564"/>
        <v>7693243.3099999996</v>
      </c>
      <c r="L2961" s="95">
        <f t="shared" si="565"/>
        <v>72266667</v>
      </c>
      <c r="M2961" s="96"/>
      <c r="N2961" s="96"/>
      <c r="O2961" s="153"/>
      <c r="P2961" s="126">
        <v>48969891</v>
      </c>
      <c r="Q2961" s="127">
        <v>44228</v>
      </c>
      <c r="R2961" s="29">
        <v>400000</v>
      </c>
      <c r="S2961" s="29">
        <v>512000</v>
      </c>
      <c r="T2961" s="30"/>
      <c r="U2961" s="146">
        <f>+U2960*12.5%</f>
        <v>4746666.6500000004</v>
      </c>
      <c r="V2961" s="150" t="s">
        <v>2769</v>
      </c>
    </row>
    <row r="2962" spans="1:24" s="31" customFormat="1" ht="15" hidden="1" x14ac:dyDescent="0.25">
      <c r="B2962" s="89">
        <v>44321.083333333336</v>
      </c>
      <c r="C2962" s="92" t="s">
        <v>2798</v>
      </c>
      <c r="D2962" s="23"/>
      <c r="E2962" s="91">
        <v>8000000</v>
      </c>
      <c r="F2962" s="93"/>
      <c r="G2962" s="93">
        <f t="shared" si="563"/>
        <v>8000000</v>
      </c>
      <c r="H2962" s="94"/>
      <c r="I2962" s="94">
        <v>238286.61</v>
      </c>
      <c r="J2962" s="94">
        <v>68470.080000000002</v>
      </c>
      <c r="K2962" s="25">
        <f t="shared" si="564"/>
        <v>7693243.3099999996</v>
      </c>
      <c r="L2962" s="95">
        <f t="shared" si="565"/>
        <v>64266667</v>
      </c>
      <c r="M2962" s="20">
        <v>8000000</v>
      </c>
      <c r="N2962" s="20">
        <f>+G2962-M2962</f>
        <v>0</v>
      </c>
      <c r="O2962" s="153"/>
      <c r="P2962" s="126">
        <v>49871693</v>
      </c>
      <c r="Q2962" s="127">
        <v>44256</v>
      </c>
      <c r="R2962" s="29">
        <v>400000</v>
      </c>
      <c r="S2962" s="29">
        <v>512000</v>
      </c>
      <c r="T2962" s="30"/>
      <c r="U2962" s="146">
        <f>+U2960*16%</f>
        <v>6075733.3120000008</v>
      </c>
      <c r="V2962" s="154" t="s">
        <v>2771</v>
      </c>
    </row>
    <row r="2963" spans="1:24" s="31" customFormat="1" ht="15" hidden="1" x14ac:dyDescent="0.25">
      <c r="B2963" s="89">
        <v>44350.083333333336</v>
      </c>
      <c r="C2963" s="92" t="s">
        <v>2799</v>
      </c>
      <c r="D2963" s="23"/>
      <c r="E2963" s="91">
        <v>8000000</v>
      </c>
      <c r="F2963" s="93"/>
      <c r="G2963" s="93">
        <f t="shared" si="563"/>
        <v>8000000</v>
      </c>
      <c r="H2963" s="94"/>
      <c r="I2963" s="94">
        <v>238286.61</v>
      </c>
      <c r="J2963" s="94">
        <v>68470.080000000002</v>
      </c>
      <c r="K2963" s="25">
        <f t="shared" si="564"/>
        <v>7693243.3099999996</v>
      </c>
      <c r="L2963" s="95">
        <f t="shared" si="565"/>
        <v>56266667</v>
      </c>
      <c r="M2963" s="20"/>
      <c r="N2963" s="20"/>
      <c r="O2963" s="153"/>
      <c r="P2963" s="126">
        <v>50516657</v>
      </c>
      <c r="Q2963" s="127">
        <v>44287</v>
      </c>
      <c r="R2963" s="29">
        <v>400000</v>
      </c>
      <c r="S2963" s="29">
        <v>512000</v>
      </c>
      <c r="T2963" s="30"/>
      <c r="U2963" s="146"/>
      <c r="V2963" s="146"/>
    </row>
    <row r="2964" spans="1:24" s="31" customFormat="1" ht="15" hidden="1" x14ac:dyDescent="0.25">
      <c r="B2964" s="89">
        <v>44383.083333333336</v>
      </c>
      <c r="C2964" s="92" t="s">
        <v>2800</v>
      </c>
      <c r="D2964" s="23"/>
      <c r="E2964" s="91">
        <v>8000000</v>
      </c>
      <c r="F2964" s="93"/>
      <c r="G2964" s="93">
        <f t="shared" si="563"/>
        <v>8000000</v>
      </c>
      <c r="H2964" s="94"/>
      <c r="I2964" s="94">
        <v>238286.61</v>
      </c>
      <c r="J2964" s="94">
        <v>68470.080000000002</v>
      </c>
      <c r="K2964" s="25">
        <f t="shared" si="564"/>
        <v>7693243.3099999996</v>
      </c>
      <c r="L2964" s="95">
        <f t="shared" si="565"/>
        <v>48266667</v>
      </c>
      <c r="M2964" s="20"/>
      <c r="N2964" s="20"/>
      <c r="O2964" s="153"/>
      <c r="P2964" s="126">
        <v>511962613</v>
      </c>
      <c r="Q2964" s="127">
        <v>44317</v>
      </c>
      <c r="R2964" s="29">
        <v>400000</v>
      </c>
      <c r="S2964" s="29">
        <v>512000</v>
      </c>
      <c r="T2964" s="30"/>
      <c r="U2964" s="146">
        <f>+R2971-U2961</f>
        <v>3333.3499999996275</v>
      </c>
      <c r="V2964" s="146"/>
    </row>
    <row r="2965" spans="1:24" s="31" customFormat="1" ht="15" hidden="1" x14ac:dyDescent="0.25">
      <c r="B2965" s="89">
        <v>44417.083333333336</v>
      </c>
      <c r="C2965" s="92" t="s">
        <v>2801</v>
      </c>
      <c r="D2965" s="23"/>
      <c r="E2965" s="91">
        <v>8000000</v>
      </c>
      <c r="F2965" s="93"/>
      <c r="G2965" s="93">
        <f t="shared" si="563"/>
        <v>8000000</v>
      </c>
      <c r="H2965" s="94"/>
      <c r="I2965" s="94">
        <v>238286.61</v>
      </c>
      <c r="J2965" s="94">
        <v>68470.080000000002</v>
      </c>
      <c r="K2965" s="25">
        <f t="shared" si="564"/>
        <v>7693243.3099999996</v>
      </c>
      <c r="L2965" s="95">
        <f t="shared" si="565"/>
        <v>40266667</v>
      </c>
      <c r="M2965" s="20"/>
      <c r="N2965" s="20"/>
      <c r="O2965" s="153"/>
      <c r="P2965" s="126">
        <v>51861335</v>
      </c>
      <c r="Q2965" s="127">
        <v>44348</v>
      </c>
      <c r="R2965" s="29">
        <v>400000</v>
      </c>
      <c r="S2965" s="29">
        <v>512000</v>
      </c>
      <c r="T2965" s="30"/>
      <c r="U2965" s="146">
        <f>+S2971-U2962</f>
        <v>4266.6879999991506</v>
      </c>
      <c r="V2965" s="146"/>
      <c r="W2965" s="31">
        <v>8000000</v>
      </c>
      <c r="X2965" s="131">
        <f>+E2965-W2965</f>
        <v>0</v>
      </c>
    </row>
    <row r="2966" spans="1:24" s="31" customFormat="1" ht="15" hidden="1" x14ac:dyDescent="0.25">
      <c r="B2966" s="89">
        <v>44442.083333333336</v>
      </c>
      <c r="C2966" s="92" t="s">
        <v>2802</v>
      </c>
      <c r="D2966" s="23"/>
      <c r="E2966" s="91">
        <v>8000000</v>
      </c>
      <c r="F2966" s="93"/>
      <c r="G2966" s="93">
        <f t="shared" si="563"/>
        <v>8000000</v>
      </c>
      <c r="H2966" s="94"/>
      <c r="I2966" s="94">
        <v>238286.61</v>
      </c>
      <c r="J2966" s="94">
        <v>68470.080000000002</v>
      </c>
      <c r="K2966" s="25">
        <f t="shared" si="564"/>
        <v>7693243.3099999996</v>
      </c>
      <c r="L2966" s="95">
        <f t="shared" si="565"/>
        <v>32266667</v>
      </c>
      <c r="M2966" s="20"/>
      <c r="N2966" s="20"/>
      <c r="O2966" s="153"/>
      <c r="P2966" s="126">
        <v>52522121</v>
      </c>
      <c r="Q2966" s="127">
        <v>44378</v>
      </c>
      <c r="R2966" s="29">
        <v>400000</v>
      </c>
      <c r="S2966" s="29">
        <v>512000</v>
      </c>
      <c r="T2966" s="30"/>
      <c r="U2966" s="146"/>
      <c r="V2966" s="146"/>
      <c r="X2966" s="131"/>
    </row>
    <row r="2967" spans="1:24" s="31" customFormat="1" ht="15" hidden="1" x14ac:dyDescent="0.25">
      <c r="B2967" s="89">
        <v>44474.083333333336</v>
      </c>
      <c r="C2967" s="92" t="s">
        <v>2803</v>
      </c>
      <c r="D2967" s="23"/>
      <c r="E2967" s="91">
        <v>8000000</v>
      </c>
      <c r="F2967" s="93"/>
      <c r="G2967" s="93">
        <f t="shared" si="563"/>
        <v>8000000</v>
      </c>
      <c r="H2967" s="94"/>
      <c r="I2967" s="94">
        <v>238286.61</v>
      </c>
      <c r="J2967" s="94">
        <v>68470.080000000002</v>
      </c>
      <c r="K2967" s="25">
        <f t="shared" si="564"/>
        <v>7693243.3099999996</v>
      </c>
      <c r="L2967" s="95">
        <f t="shared" si="565"/>
        <v>24266667</v>
      </c>
      <c r="M2967" s="20"/>
      <c r="N2967" s="20"/>
      <c r="O2967" s="153"/>
      <c r="P2967" s="126">
        <v>53212150</v>
      </c>
      <c r="Q2967" s="127">
        <v>44409</v>
      </c>
      <c r="R2967" s="29">
        <v>400000</v>
      </c>
      <c r="S2967" s="29">
        <v>512000</v>
      </c>
      <c r="T2967" s="30"/>
      <c r="U2967" s="146"/>
      <c r="V2967" s="146"/>
      <c r="X2967" s="131"/>
    </row>
    <row r="2968" spans="1:24" s="31" customFormat="1" ht="15" hidden="1" x14ac:dyDescent="0.25">
      <c r="B2968" s="89">
        <v>44508.125</v>
      </c>
      <c r="C2968" s="92" t="s">
        <v>2804</v>
      </c>
      <c r="D2968" s="23"/>
      <c r="E2968" s="91">
        <v>8000000</v>
      </c>
      <c r="F2968" s="93"/>
      <c r="G2968" s="93">
        <f t="shared" si="563"/>
        <v>8000000</v>
      </c>
      <c r="H2968" s="94"/>
      <c r="I2968" s="94">
        <v>238286.61</v>
      </c>
      <c r="J2968" s="94">
        <v>68470.080000000002</v>
      </c>
      <c r="K2968" s="25">
        <f t="shared" si="564"/>
        <v>7693243.3099999996</v>
      </c>
      <c r="L2968" s="95">
        <f t="shared" si="565"/>
        <v>16266667</v>
      </c>
      <c r="M2968" s="20"/>
      <c r="N2968" s="20"/>
      <c r="O2968" s="153"/>
      <c r="P2968" s="126">
        <v>53901765</v>
      </c>
      <c r="Q2968" s="127">
        <v>44440</v>
      </c>
      <c r="R2968" s="29">
        <v>400000</v>
      </c>
      <c r="S2968" s="29">
        <v>512000</v>
      </c>
      <c r="T2968" s="30"/>
      <c r="U2968" s="146"/>
      <c r="V2968" s="146"/>
      <c r="X2968" s="131"/>
    </row>
    <row r="2969" spans="1:24" s="31" customFormat="1" ht="15" hidden="1" x14ac:dyDescent="0.25">
      <c r="B2969" s="89">
        <v>44533.125</v>
      </c>
      <c r="C2969" s="92" t="s">
        <v>2805</v>
      </c>
      <c r="D2969" s="23"/>
      <c r="E2969" s="91">
        <v>8000000</v>
      </c>
      <c r="F2969" s="93"/>
      <c r="G2969" s="93">
        <f t="shared" si="563"/>
        <v>8000000</v>
      </c>
      <c r="H2969" s="94"/>
      <c r="I2969" s="94">
        <v>238286.61</v>
      </c>
      <c r="J2969" s="94">
        <v>68470.080000000002</v>
      </c>
      <c r="K2969" s="25">
        <f t="shared" si="564"/>
        <v>7693243.3099999996</v>
      </c>
      <c r="L2969" s="95">
        <f t="shared" si="565"/>
        <v>8266667</v>
      </c>
      <c r="M2969" s="20"/>
      <c r="N2969" s="20"/>
      <c r="O2969" s="153"/>
      <c r="P2969" s="126">
        <v>54593055</v>
      </c>
      <c r="Q2969" s="127">
        <v>44470</v>
      </c>
      <c r="R2969" s="29">
        <v>400000</v>
      </c>
      <c r="S2969" s="29">
        <v>512000</v>
      </c>
      <c r="T2969" s="30"/>
      <c r="U2969" s="146"/>
      <c r="V2969" s="146"/>
      <c r="X2969" s="131"/>
    </row>
    <row r="2970" spans="1:24" s="31" customFormat="1" ht="15" hidden="1" x14ac:dyDescent="0.25">
      <c r="B2970" s="89">
        <v>44551.125</v>
      </c>
      <c r="C2970" s="92" t="s">
        <v>2806</v>
      </c>
      <c r="D2970" s="23"/>
      <c r="E2970" s="91">
        <v>8000000</v>
      </c>
      <c r="F2970" s="93"/>
      <c r="G2970" s="93">
        <f t="shared" si="563"/>
        <v>8000000</v>
      </c>
      <c r="H2970" s="94"/>
      <c r="I2970" s="94">
        <v>238286.61</v>
      </c>
      <c r="J2970" s="94">
        <v>68470.080000000002</v>
      </c>
      <c r="K2970" s="25">
        <f t="shared" si="564"/>
        <v>7693243.3099999996</v>
      </c>
      <c r="L2970" s="95">
        <f t="shared" si="565"/>
        <v>266667</v>
      </c>
      <c r="M2970" s="20"/>
      <c r="N2970" s="20"/>
      <c r="O2970" s="153"/>
      <c r="P2970" s="126">
        <v>55191458</v>
      </c>
      <c r="Q2970" s="127">
        <v>44531</v>
      </c>
      <c r="R2970" s="29">
        <v>400000</v>
      </c>
      <c r="S2970" s="29">
        <v>512000</v>
      </c>
      <c r="T2970" s="30"/>
      <c r="U2970" s="146"/>
      <c r="V2970" s="146"/>
      <c r="X2970" s="131"/>
    </row>
    <row r="2971" spans="1:24" s="31" customFormat="1" ht="15" hidden="1" x14ac:dyDescent="0.25">
      <c r="B2971" s="89"/>
      <c r="C2971" s="92"/>
      <c r="D2971" s="23"/>
      <c r="E2971" s="91"/>
      <c r="F2971" s="93"/>
      <c r="G2971" s="93"/>
      <c r="H2971" s="94"/>
      <c r="I2971" s="94"/>
      <c r="J2971" s="94"/>
      <c r="K2971" s="25"/>
      <c r="L2971" s="95"/>
      <c r="M2971" s="20"/>
      <c r="N2971" s="20"/>
      <c r="O2971" s="153"/>
      <c r="P2971" s="126"/>
      <c r="Q2971" s="127"/>
      <c r="R2971" s="152">
        <f>SUM(R2959:R2970)</f>
        <v>4750000</v>
      </c>
      <c r="S2971" s="155">
        <f>SUM(S2959:S2970)</f>
        <v>6080000</v>
      </c>
      <c r="T2971" s="30"/>
      <c r="U2971" s="146"/>
      <c r="V2971" s="146"/>
      <c r="X2971" s="131"/>
    </row>
    <row r="2972" spans="1:24" s="31" customFormat="1" ht="15" hidden="1" x14ac:dyDescent="0.25">
      <c r="A2972" s="31">
        <v>72021</v>
      </c>
      <c r="B2972" s="139" t="s">
        <v>2807</v>
      </c>
      <c r="C2972" s="140"/>
      <c r="D2972" s="141">
        <v>110908000</v>
      </c>
      <c r="E2972" s="141">
        <f>+D2972</f>
        <v>110908000</v>
      </c>
      <c r="F2972" s="141"/>
      <c r="G2972" s="141"/>
      <c r="H2972" s="141"/>
      <c r="I2972" s="141"/>
      <c r="J2972" s="141"/>
      <c r="K2972" s="141"/>
      <c r="L2972" s="141">
        <f>+D2972</f>
        <v>110908000</v>
      </c>
      <c r="M2972" s="142"/>
      <c r="N2972" s="142"/>
      <c r="P2972" s="126"/>
      <c r="Q2972" s="126"/>
      <c r="R2972" s="29"/>
      <c r="S2972" s="29"/>
      <c r="T2972" s="30"/>
    </row>
    <row r="2973" spans="1:24" s="31" customFormat="1" ht="15" hidden="1" x14ac:dyDescent="0.25">
      <c r="B2973" s="89">
        <v>44230.125</v>
      </c>
      <c r="C2973" s="92" t="s">
        <v>2808</v>
      </c>
      <c r="D2973" s="23"/>
      <c r="E2973" s="91">
        <v>7766667</v>
      </c>
      <c r="F2973" s="93"/>
      <c r="G2973" s="93">
        <f t="shared" ref="G2973:G2984" si="566">+E2973</f>
        <v>7766667</v>
      </c>
      <c r="H2973" s="94"/>
      <c r="I2973" s="94">
        <v>209587.13</v>
      </c>
      <c r="J2973" s="94">
        <v>66473.039999999994</v>
      </c>
      <c r="K2973" s="25">
        <f>+G2973-H2973-I2973-J2973</f>
        <v>7490606.8300000001</v>
      </c>
      <c r="L2973" s="95">
        <f t="shared" ref="L2973:L2979" si="567">+L2972-G2973</f>
        <v>103141333</v>
      </c>
      <c r="M2973" s="96"/>
      <c r="N2973" s="96"/>
      <c r="O2973" s="149">
        <f>+VLOOKUP(A2972,'[1]ANEXO 7 - PPTO VIG 2021'!$H$8:$AB$160,21,)-L2984</f>
        <v>-621333</v>
      </c>
      <c r="P2973" s="126">
        <v>853966355</v>
      </c>
      <c r="Q2973" s="127">
        <v>44197</v>
      </c>
      <c r="R2973" s="29">
        <v>416000</v>
      </c>
      <c r="S2973" s="29">
        <v>532500</v>
      </c>
      <c r="T2973" s="30">
        <f>+L2972-621333</f>
        <v>110286667</v>
      </c>
      <c r="U2973" s="146">
        <f>+T2973*40%</f>
        <v>44114666.800000004</v>
      </c>
      <c r="V2973" s="146"/>
    </row>
    <row r="2974" spans="1:24" s="31" customFormat="1" ht="15" hidden="1" x14ac:dyDescent="0.25">
      <c r="B2974" s="89">
        <v>44256.125</v>
      </c>
      <c r="C2974" s="92" t="s">
        <v>2809</v>
      </c>
      <c r="D2974" s="23"/>
      <c r="E2974" s="91">
        <v>9320000</v>
      </c>
      <c r="F2974" s="93"/>
      <c r="G2974" s="93">
        <f t="shared" si="566"/>
        <v>9320000</v>
      </c>
      <c r="H2974" s="94"/>
      <c r="I2974" s="94">
        <v>377657.3</v>
      </c>
      <c r="J2974" s="94">
        <v>79767.64</v>
      </c>
      <c r="K2974" s="25">
        <f>+G2974-H2974-I2974-J2974</f>
        <v>8862575.0599999987</v>
      </c>
      <c r="L2974" s="95">
        <f t="shared" si="567"/>
        <v>93821333</v>
      </c>
      <c r="M2974" s="96"/>
      <c r="N2974" s="96"/>
      <c r="O2974" s="130"/>
      <c r="P2974" s="126">
        <v>48518070</v>
      </c>
      <c r="Q2974" s="127">
        <v>44228</v>
      </c>
      <c r="R2974" s="29">
        <v>466000</v>
      </c>
      <c r="S2974" s="29">
        <v>633900</v>
      </c>
      <c r="T2974" s="30"/>
      <c r="U2974" s="146"/>
      <c r="V2974" s="146"/>
    </row>
    <row r="2975" spans="1:24" s="31" customFormat="1" ht="15" hidden="1" x14ac:dyDescent="0.25">
      <c r="B2975" s="89">
        <v>44299.083333333336</v>
      </c>
      <c r="C2975" s="92" t="s">
        <v>2810</v>
      </c>
      <c r="D2975" s="23"/>
      <c r="E2975" s="91">
        <v>9320000</v>
      </c>
      <c r="F2975" s="93"/>
      <c r="G2975" s="93">
        <f t="shared" si="566"/>
        <v>9320000</v>
      </c>
      <c r="H2975" s="94"/>
      <c r="I2975" s="91">
        <v>377657.3</v>
      </c>
      <c r="J2975" s="91">
        <v>79767.64</v>
      </c>
      <c r="K2975" s="25">
        <f>+G2975-H2975-I2975-J2975</f>
        <v>8862575.0599999987</v>
      </c>
      <c r="L2975" s="95">
        <f t="shared" si="567"/>
        <v>84501333</v>
      </c>
      <c r="M2975" s="96"/>
      <c r="N2975" s="96"/>
      <c r="O2975" s="130"/>
      <c r="P2975" s="126">
        <v>909876829</v>
      </c>
      <c r="Q2975" s="127">
        <v>44256</v>
      </c>
      <c r="R2975" s="29">
        <v>466000</v>
      </c>
      <c r="S2975" s="29">
        <v>633900</v>
      </c>
      <c r="T2975" s="30"/>
      <c r="U2975" s="146">
        <f>+U2973*12.5%</f>
        <v>5514333.3500000006</v>
      </c>
      <c r="V2975" s="150" t="s">
        <v>2769</v>
      </c>
    </row>
    <row r="2976" spans="1:24" s="31" customFormat="1" ht="15" hidden="1" x14ac:dyDescent="0.25">
      <c r="B2976" s="89">
        <v>44320.083333333336</v>
      </c>
      <c r="C2976" s="92" t="s">
        <v>2811</v>
      </c>
      <c r="D2976" s="23"/>
      <c r="E2976" s="93">
        <v>9320000</v>
      </c>
      <c r="F2976" s="93"/>
      <c r="G2976" s="93">
        <f t="shared" si="566"/>
        <v>9320000</v>
      </c>
      <c r="H2976" s="94"/>
      <c r="I2976" s="94">
        <v>377657.3</v>
      </c>
      <c r="J2976" s="94">
        <v>79767.64</v>
      </c>
      <c r="K2976" s="25">
        <f>+G2976-H2976-I2976-J2976</f>
        <v>8862575.0599999987</v>
      </c>
      <c r="L2976" s="95">
        <f t="shared" si="567"/>
        <v>75181333</v>
      </c>
      <c r="M2976" s="20">
        <v>9320000</v>
      </c>
      <c r="N2976" s="20">
        <f>+G2976-M2976</f>
        <v>0</v>
      </c>
      <c r="O2976" s="130"/>
      <c r="P2976" s="126">
        <v>50110381</v>
      </c>
      <c r="Q2976" s="127">
        <v>44287</v>
      </c>
      <c r="R2976" s="29">
        <v>466000</v>
      </c>
      <c r="S2976" s="29">
        <v>633900</v>
      </c>
      <c r="U2976" s="146">
        <f>+U2973*16%</f>
        <v>7058346.688000001</v>
      </c>
      <c r="V2976" s="151" t="s">
        <v>2771</v>
      </c>
    </row>
    <row r="2977" spans="1:24" s="31" customFormat="1" ht="15" hidden="1" x14ac:dyDescent="0.25">
      <c r="B2977" s="89">
        <v>44350.083333333336</v>
      </c>
      <c r="C2977" s="92" t="s">
        <v>2812</v>
      </c>
      <c r="D2977" s="23"/>
      <c r="E2977" s="93">
        <v>9320000</v>
      </c>
      <c r="F2977" s="93"/>
      <c r="G2977" s="93">
        <f t="shared" si="566"/>
        <v>9320000</v>
      </c>
      <c r="H2977" s="94"/>
      <c r="I2977" s="94">
        <v>377657.3</v>
      </c>
      <c r="J2977" s="94">
        <v>79767.64</v>
      </c>
      <c r="K2977" s="25">
        <f>+G2977-H2977-I2977-J2977</f>
        <v>8862575.0599999987</v>
      </c>
      <c r="L2977" s="95">
        <f t="shared" si="567"/>
        <v>65861333</v>
      </c>
      <c r="M2977" s="20"/>
      <c r="N2977" s="20"/>
      <c r="O2977" s="130"/>
      <c r="P2977" s="126">
        <v>999197559</v>
      </c>
      <c r="Q2977" s="127">
        <v>44317</v>
      </c>
      <c r="R2977" s="29">
        <v>466000</v>
      </c>
      <c r="S2977" s="29">
        <v>633900</v>
      </c>
      <c r="T2977" s="30"/>
      <c r="U2977" s="146"/>
      <c r="V2977" s="146"/>
    </row>
    <row r="2978" spans="1:24" s="31" customFormat="1" ht="15" hidden="1" x14ac:dyDescent="0.25">
      <c r="B2978" s="89">
        <v>44379.083333333336</v>
      </c>
      <c r="C2978" s="92" t="s">
        <v>2813</v>
      </c>
      <c r="D2978" s="23"/>
      <c r="E2978" s="93">
        <v>9320000</v>
      </c>
      <c r="F2978" s="93"/>
      <c r="G2978" s="93">
        <f t="shared" si="566"/>
        <v>9320000</v>
      </c>
      <c r="H2978" s="94"/>
      <c r="I2978" s="94">
        <v>377657.3</v>
      </c>
      <c r="J2978" s="94">
        <v>79767.64</v>
      </c>
      <c r="K2978" s="25">
        <f t="shared" ref="K2978:K2984" si="568">+G2978-H2978-I2978-J2978</f>
        <v>8862575.0599999987</v>
      </c>
      <c r="L2978" s="95">
        <f t="shared" si="567"/>
        <v>56541333</v>
      </c>
      <c r="M2978" s="20"/>
      <c r="N2978" s="20"/>
      <c r="O2978" s="130"/>
      <c r="P2978" s="126">
        <v>51481463</v>
      </c>
      <c r="Q2978" s="127">
        <v>44348</v>
      </c>
      <c r="R2978" s="29">
        <v>466000</v>
      </c>
      <c r="S2978" s="29">
        <v>633900</v>
      </c>
      <c r="T2978" s="30"/>
      <c r="U2978" s="146"/>
      <c r="V2978" s="146"/>
    </row>
    <row r="2979" spans="1:24" s="31" customFormat="1" ht="15" hidden="1" x14ac:dyDescent="0.25">
      <c r="B2979" s="89">
        <v>44411.083333333336</v>
      </c>
      <c r="C2979" s="92" t="s">
        <v>2814</v>
      </c>
      <c r="D2979" s="23"/>
      <c r="E2979" s="93">
        <v>9320000</v>
      </c>
      <c r="F2979" s="93"/>
      <c r="G2979" s="93">
        <f t="shared" si="566"/>
        <v>9320000</v>
      </c>
      <c r="H2979" s="94"/>
      <c r="I2979" s="94">
        <v>377657.3</v>
      </c>
      <c r="J2979" s="94">
        <v>79767.64</v>
      </c>
      <c r="K2979" s="25">
        <f t="shared" si="568"/>
        <v>8862575.0599999987</v>
      </c>
      <c r="L2979" s="95">
        <f t="shared" si="567"/>
        <v>47221333</v>
      </c>
      <c r="M2979" s="20"/>
      <c r="N2979" s="20"/>
      <c r="O2979" s="130"/>
      <c r="P2979" s="126">
        <v>52165308</v>
      </c>
      <c r="Q2979" s="127">
        <v>44378</v>
      </c>
      <c r="R2979" s="29">
        <v>466000</v>
      </c>
      <c r="S2979" s="29">
        <v>633900</v>
      </c>
      <c r="T2979" s="30"/>
      <c r="U2979" s="146"/>
      <c r="V2979" s="146"/>
      <c r="W2979" s="31">
        <v>9320000</v>
      </c>
      <c r="X2979" s="131">
        <f>+E2979-W2979</f>
        <v>0</v>
      </c>
    </row>
    <row r="2980" spans="1:24" s="31" customFormat="1" ht="15" hidden="1" x14ac:dyDescent="0.25">
      <c r="B2980" s="89">
        <v>44441.083333333336</v>
      </c>
      <c r="C2980" s="92" t="s">
        <v>2815</v>
      </c>
      <c r="D2980" s="23"/>
      <c r="E2980" s="93">
        <v>9320000</v>
      </c>
      <c r="F2980" s="93"/>
      <c r="G2980" s="93">
        <f t="shared" si="566"/>
        <v>9320000</v>
      </c>
      <c r="H2980" s="94"/>
      <c r="I2980" s="94">
        <v>377657.3</v>
      </c>
      <c r="J2980" s="94">
        <v>79767.64</v>
      </c>
      <c r="K2980" s="25">
        <f t="shared" si="568"/>
        <v>8862575.0599999987</v>
      </c>
      <c r="L2980" s="95">
        <f>+L2979-G2980</f>
        <v>37901333</v>
      </c>
      <c r="M2980" s="20"/>
      <c r="N2980" s="20"/>
      <c r="O2980" s="130"/>
      <c r="P2980" s="126">
        <v>52799174</v>
      </c>
      <c r="Q2980" s="127">
        <v>44409</v>
      </c>
      <c r="R2980" s="29">
        <v>466000</v>
      </c>
      <c r="S2980" s="29">
        <v>633900</v>
      </c>
      <c r="T2980" s="30"/>
      <c r="U2980" s="146"/>
      <c r="V2980" s="146"/>
      <c r="X2980" s="131"/>
    </row>
    <row r="2981" spans="1:24" s="31" customFormat="1" ht="15" hidden="1" x14ac:dyDescent="0.25">
      <c r="B2981" s="89">
        <v>44474.083333333336</v>
      </c>
      <c r="C2981" s="92" t="s">
        <v>2816</v>
      </c>
      <c r="D2981" s="23"/>
      <c r="E2981" s="93">
        <v>9320000</v>
      </c>
      <c r="F2981" s="93"/>
      <c r="G2981" s="93">
        <f t="shared" si="566"/>
        <v>9320000</v>
      </c>
      <c r="H2981" s="94"/>
      <c r="I2981" s="94">
        <v>377657.3</v>
      </c>
      <c r="J2981" s="94">
        <v>79767.64</v>
      </c>
      <c r="K2981" s="25">
        <f t="shared" si="568"/>
        <v>8862575.0599999987</v>
      </c>
      <c r="L2981" s="95">
        <f>+L2980-G2981</f>
        <v>28581333</v>
      </c>
      <c r="M2981" s="20"/>
      <c r="N2981" s="20"/>
      <c r="O2981" s="130"/>
      <c r="P2981" s="126">
        <v>53482162</v>
      </c>
      <c r="Q2981" s="127">
        <v>44440</v>
      </c>
      <c r="R2981" s="29">
        <v>466000</v>
      </c>
      <c r="S2981" s="29">
        <v>596500</v>
      </c>
      <c r="T2981" s="30"/>
      <c r="U2981" s="146"/>
      <c r="V2981" s="146"/>
      <c r="X2981" s="131"/>
    </row>
    <row r="2982" spans="1:24" s="31" customFormat="1" ht="15" hidden="1" x14ac:dyDescent="0.25">
      <c r="B2982" s="89">
        <v>44503.083333333336</v>
      </c>
      <c r="C2982" s="92" t="s">
        <v>2817</v>
      </c>
      <c r="D2982" s="23"/>
      <c r="E2982" s="93">
        <v>9320000</v>
      </c>
      <c r="F2982" s="93"/>
      <c r="G2982" s="93">
        <f t="shared" si="566"/>
        <v>9320000</v>
      </c>
      <c r="H2982" s="94"/>
      <c r="I2982" s="94">
        <v>377657.3</v>
      </c>
      <c r="J2982" s="94">
        <v>79767.64</v>
      </c>
      <c r="K2982" s="25">
        <f t="shared" si="568"/>
        <v>8862575.0599999987</v>
      </c>
      <c r="L2982" s="95">
        <f>+L2981-G2982</f>
        <v>19261333</v>
      </c>
      <c r="M2982" s="20"/>
      <c r="N2982" s="20"/>
      <c r="O2982" s="130"/>
      <c r="P2982" s="126">
        <v>54209736</v>
      </c>
      <c r="Q2982" s="127">
        <v>44470</v>
      </c>
      <c r="R2982" s="29">
        <v>466000</v>
      </c>
      <c r="S2982" s="29">
        <v>633900</v>
      </c>
      <c r="T2982" s="30"/>
      <c r="U2982" s="146"/>
      <c r="V2982" s="146"/>
      <c r="X2982" s="131"/>
    </row>
    <row r="2983" spans="1:24" s="31" customFormat="1" ht="15" hidden="1" x14ac:dyDescent="0.25">
      <c r="B2983" s="89">
        <v>44533.125</v>
      </c>
      <c r="C2983" s="92" t="s">
        <v>2818</v>
      </c>
      <c r="D2983" s="23"/>
      <c r="E2983" s="93">
        <v>9320000</v>
      </c>
      <c r="F2983" s="93"/>
      <c r="G2983" s="93">
        <f t="shared" si="566"/>
        <v>9320000</v>
      </c>
      <c r="H2983" s="94"/>
      <c r="I2983" s="94">
        <v>377657.3</v>
      </c>
      <c r="J2983" s="94">
        <v>79767.64</v>
      </c>
      <c r="K2983" s="25">
        <f t="shared" si="568"/>
        <v>8862575.0599999987</v>
      </c>
      <c r="L2983" s="95">
        <f>+L2982-G2983</f>
        <v>9941333</v>
      </c>
      <c r="M2983" s="20"/>
      <c r="N2983" s="20"/>
      <c r="O2983" s="130"/>
      <c r="P2983" s="126">
        <v>5489620</v>
      </c>
      <c r="Q2983" s="127">
        <v>44501</v>
      </c>
      <c r="R2983" s="29">
        <v>466000</v>
      </c>
      <c r="S2983" s="29">
        <v>633900</v>
      </c>
      <c r="T2983" s="30"/>
      <c r="U2983" s="146"/>
      <c r="V2983" s="146"/>
      <c r="X2983" s="131"/>
    </row>
    <row r="2984" spans="1:24" s="31" customFormat="1" ht="15" hidden="1" x14ac:dyDescent="0.25">
      <c r="B2984" s="89">
        <v>44551.125</v>
      </c>
      <c r="C2984" s="92" t="s">
        <v>2819</v>
      </c>
      <c r="D2984" s="23"/>
      <c r="E2984" s="93">
        <v>9320000</v>
      </c>
      <c r="F2984" s="93"/>
      <c r="G2984" s="93">
        <f t="shared" si="566"/>
        <v>9320000</v>
      </c>
      <c r="H2984" s="94"/>
      <c r="I2984" s="94">
        <v>377657.3</v>
      </c>
      <c r="J2984" s="94">
        <v>79767.64</v>
      </c>
      <c r="K2984" s="25">
        <f t="shared" si="568"/>
        <v>8862575.0599999987</v>
      </c>
      <c r="L2984" s="95">
        <f>+L2983-G2984</f>
        <v>621333</v>
      </c>
      <c r="M2984" s="20"/>
      <c r="N2984" s="20"/>
      <c r="O2984" s="130"/>
      <c r="P2984" s="126">
        <v>55355263</v>
      </c>
      <c r="Q2984" s="127">
        <v>44531</v>
      </c>
      <c r="R2984" s="29">
        <v>466000</v>
      </c>
      <c r="S2984" s="29">
        <v>633900</v>
      </c>
      <c r="T2984" s="30"/>
      <c r="U2984" s="146"/>
      <c r="V2984" s="146"/>
      <c r="X2984" s="131"/>
    </row>
    <row r="2985" spans="1:24" s="31" customFormat="1" ht="15" hidden="1" x14ac:dyDescent="0.25">
      <c r="B2985" s="89"/>
      <c r="C2985" s="92"/>
      <c r="D2985" s="23"/>
      <c r="E2985" s="93"/>
      <c r="F2985" s="93"/>
      <c r="G2985" s="93"/>
      <c r="H2985" s="94"/>
      <c r="I2985" s="94"/>
      <c r="J2985" s="94"/>
      <c r="K2985" s="25"/>
      <c r="L2985" s="95"/>
      <c r="M2985" s="20"/>
      <c r="N2985" s="20"/>
      <c r="O2985" s="130"/>
      <c r="P2985" s="126"/>
      <c r="Q2985" s="127"/>
      <c r="R2985" s="152">
        <f>SUM(R2973:R2984)</f>
        <v>5542000</v>
      </c>
      <c r="S2985" s="123">
        <f>SUM(S2973:S2984)</f>
        <v>7468000</v>
      </c>
      <c r="T2985" s="30"/>
      <c r="U2985" s="146"/>
      <c r="V2985" s="146"/>
      <c r="X2985" s="131"/>
    </row>
    <row r="2986" spans="1:24" s="31" customFormat="1" ht="15" hidden="1" x14ac:dyDescent="0.25">
      <c r="A2986" s="31">
        <v>62021</v>
      </c>
      <c r="B2986" s="139" t="s">
        <v>2820</v>
      </c>
      <c r="C2986" s="140"/>
      <c r="D2986" s="141">
        <v>138749240</v>
      </c>
      <c r="E2986" s="141">
        <f>+D2986</f>
        <v>138749240</v>
      </c>
      <c r="F2986" s="141"/>
      <c r="G2986" s="141"/>
      <c r="H2986" s="141"/>
      <c r="I2986" s="141"/>
      <c r="J2986" s="141"/>
      <c r="K2986" s="141"/>
      <c r="L2986" s="141">
        <f>+D2986</f>
        <v>138749240</v>
      </c>
      <c r="M2986" s="142"/>
      <c r="N2986" s="142"/>
      <c r="P2986" s="126"/>
      <c r="Q2986" s="126"/>
      <c r="R2986" s="29"/>
      <c r="S2986" s="29"/>
      <c r="T2986" s="30"/>
    </row>
    <row r="2987" spans="1:24" s="31" customFormat="1" ht="15" hidden="1" x14ac:dyDescent="0.25">
      <c r="B2987" s="89">
        <v>44236.125</v>
      </c>
      <c r="C2987" s="92" t="s">
        <v>2821</v>
      </c>
      <c r="D2987" s="23"/>
      <c r="E2987" s="91">
        <v>9716333</v>
      </c>
      <c r="F2987" s="93"/>
      <c r="G2987" s="93">
        <f t="shared" ref="G2987:G2998" si="569">+E2987</f>
        <v>9716333</v>
      </c>
      <c r="H2987" s="94"/>
      <c r="I2987" s="94">
        <v>674530.93</v>
      </c>
      <c r="J2987" s="94">
        <v>93859.78</v>
      </c>
      <c r="K2987" s="25">
        <f>+G2987-H2987-I2987-J2987</f>
        <v>8947942.290000001</v>
      </c>
      <c r="L2987" s="95">
        <f t="shared" ref="L2987:L2998" si="570">+L2986-G2987</f>
        <v>129032907</v>
      </c>
      <c r="M2987" s="96"/>
      <c r="N2987" s="96"/>
      <c r="O2987" s="149">
        <f>+VLOOKUP(A2986,'[1]ANEXO 7 - PPTO VIG 2021'!$H$8:$AB$160,21,)-L2998</f>
        <v>-777307</v>
      </c>
      <c r="P2987" s="126">
        <v>47175989</v>
      </c>
      <c r="Q2987" s="127">
        <v>44166</v>
      </c>
      <c r="R2987" s="29">
        <v>566000</v>
      </c>
      <c r="S2987" s="29">
        <v>769900</v>
      </c>
      <c r="T2987" s="30">
        <f>+L2986-777307</f>
        <v>137971933</v>
      </c>
      <c r="U2987" s="146">
        <f>+T2987*40%</f>
        <v>55188773.200000003</v>
      </c>
      <c r="V2987" s="146"/>
    </row>
    <row r="2988" spans="1:24" s="31" customFormat="1" ht="15" hidden="1" x14ac:dyDescent="0.25">
      <c r="B2988" s="89">
        <v>44257.125</v>
      </c>
      <c r="C2988" s="92" t="s">
        <v>2822</v>
      </c>
      <c r="D2988" s="23"/>
      <c r="E2988" s="91">
        <v>11659600</v>
      </c>
      <c r="F2988" s="93"/>
      <c r="G2988" s="93">
        <f t="shared" si="569"/>
        <v>11659600</v>
      </c>
      <c r="H2988" s="94"/>
      <c r="I2988" s="94">
        <v>748621.36</v>
      </c>
      <c r="J2988" s="94">
        <v>99791.72</v>
      </c>
      <c r="K2988" s="25">
        <f>+G2988-H2988-I2988-J2988</f>
        <v>10811186.92</v>
      </c>
      <c r="L2988" s="95">
        <f t="shared" si="570"/>
        <v>117373307</v>
      </c>
      <c r="M2988" s="96"/>
      <c r="N2988" s="96"/>
      <c r="O2988" s="130"/>
      <c r="P2988" s="126">
        <v>4879477</v>
      </c>
      <c r="Q2988" s="127">
        <v>44197</v>
      </c>
      <c r="R2988" s="29">
        <v>583000</v>
      </c>
      <c r="S2988" s="29">
        <v>793100</v>
      </c>
      <c r="T2988" s="30"/>
      <c r="U2988" s="146"/>
      <c r="V2988" s="146"/>
    </row>
    <row r="2989" spans="1:24" s="31" customFormat="1" ht="15" hidden="1" x14ac:dyDescent="0.25">
      <c r="B2989" s="89">
        <v>44292.083333333336</v>
      </c>
      <c r="C2989" s="92" t="s">
        <v>2823</v>
      </c>
      <c r="D2989" s="23"/>
      <c r="E2989" s="91">
        <v>11659600</v>
      </c>
      <c r="F2989" s="93"/>
      <c r="G2989" s="93">
        <f t="shared" si="569"/>
        <v>11659600</v>
      </c>
      <c r="H2989" s="94"/>
      <c r="I2989" s="91">
        <v>748621.36</v>
      </c>
      <c r="J2989" s="91">
        <v>99791.72</v>
      </c>
      <c r="K2989" s="25">
        <f>+G2989-H2989-I2989-J2989</f>
        <v>10811186.92</v>
      </c>
      <c r="L2989" s="95">
        <f t="shared" si="570"/>
        <v>105713707</v>
      </c>
      <c r="M2989" s="96"/>
      <c r="N2989" s="96"/>
      <c r="O2989" s="130"/>
      <c r="P2989" s="126">
        <v>49394612</v>
      </c>
      <c r="Q2989" s="127">
        <v>44228</v>
      </c>
      <c r="R2989" s="29">
        <v>583000</v>
      </c>
      <c r="S2989" s="29">
        <v>793100</v>
      </c>
      <c r="T2989" s="30"/>
      <c r="U2989" s="146">
        <f>+U2987*12.5%</f>
        <v>6898596.6500000004</v>
      </c>
      <c r="V2989" s="150" t="s">
        <v>2769</v>
      </c>
    </row>
    <row r="2990" spans="1:24" s="31" customFormat="1" ht="15" hidden="1" x14ac:dyDescent="0.25">
      <c r="B2990" s="89">
        <v>44320.083333333336</v>
      </c>
      <c r="C2990" s="92" t="s">
        <v>2824</v>
      </c>
      <c r="D2990" s="23"/>
      <c r="E2990" s="91">
        <v>11659600</v>
      </c>
      <c r="F2990" s="93"/>
      <c r="G2990" s="93">
        <f t="shared" si="569"/>
        <v>11659600</v>
      </c>
      <c r="H2990" s="94"/>
      <c r="I2990" s="91">
        <v>748621.36</v>
      </c>
      <c r="J2990" s="91">
        <v>99791.72</v>
      </c>
      <c r="K2990" s="25">
        <f>+G2990-H2990-I2990-J2990</f>
        <v>10811186.92</v>
      </c>
      <c r="L2990" s="95">
        <f t="shared" si="570"/>
        <v>94054107</v>
      </c>
      <c r="M2990" s="20">
        <v>11659600</v>
      </c>
      <c r="N2990" s="20">
        <f>+G2990-M2990</f>
        <v>0</v>
      </c>
      <c r="O2990" s="130"/>
      <c r="P2990" s="126">
        <v>50152918</v>
      </c>
      <c r="Q2990" s="127">
        <v>44256</v>
      </c>
      <c r="R2990" s="29">
        <v>583000</v>
      </c>
      <c r="S2990" s="29">
        <v>793100</v>
      </c>
      <c r="T2990" s="30"/>
      <c r="U2990" s="146">
        <f>+U2987*16%</f>
        <v>8830203.7120000012</v>
      </c>
      <c r="V2990" s="151" t="s">
        <v>2771</v>
      </c>
    </row>
    <row r="2991" spans="1:24" s="31" customFormat="1" ht="15" hidden="1" x14ac:dyDescent="0.25">
      <c r="B2991" s="89">
        <v>44349.083333333336</v>
      </c>
      <c r="C2991" s="92" t="s">
        <v>2825</v>
      </c>
      <c r="D2991" s="23"/>
      <c r="E2991" s="91">
        <v>11659600</v>
      </c>
      <c r="F2991" s="93"/>
      <c r="G2991" s="93">
        <f t="shared" si="569"/>
        <v>11659600</v>
      </c>
      <c r="H2991" s="94"/>
      <c r="I2991" s="91">
        <v>748621.36</v>
      </c>
      <c r="J2991" s="91">
        <v>99791.72</v>
      </c>
      <c r="K2991" s="25">
        <f t="shared" ref="K2991:K2996" si="571">+G2991-H2991-I2991-J2991</f>
        <v>10811186.92</v>
      </c>
      <c r="L2991" s="95">
        <f t="shared" si="570"/>
        <v>82394507</v>
      </c>
      <c r="M2991" s="20"/>
      <c r="N2991" s="20"/>
      <c r="O2991" s="130"/>
      <c r="P2991" s="126">
        <v>999732989</v>
      </c>
      <c r="Q2991" s="127">
        <v>44287</v>
      </c>
      <c r="R2991" s="29">
        <v>583000</v>
      </c>
      <c r="S2991" s="29">
        <v>793100</v>
      </c>
      <c r="T2991" s="30"/>
      <c r="U2991" s="146"/>
      <c r="V2991" s="146"/>
    </row>
    <row r="2992" spans="1:24" s="31" customFormat="1" ht="15" hidden="1" x14ac:dyDescent="0.25">
      <c r="B2992" s="89">
        <v>44383.083333333336</v>
      </c>
      <c r="C2992" s="92" t="s">
        <v>2826</v>
      </c>
      <c r="D2992" s="23"/>
      <c r="E2992" s="91">
        <v>11659600</v>
      </c>
      <c r="F2992" s="93"/>
      <c r="G2992" s="93">
        <f t="shared" si="569"/>
        <v>11659600</v>
      </c>
      <c r="H2992" s="94"/>
      <c r="I2992" s="91">
        <v>748621.36</v>
      </c>
      <c r="J2992" s="91">
        <v>99791.72</v>
      </c>
      <c r="K2992" s="25">
        <f t="shared" si="571"/>
        <v>10811186.92</v>
      </c>
      <c r="L2992" s="95">
        <f t="shared" si="570"/>
        <v>70734907</v>
      </c>
      <c r="M2992" s="20"/>
      <c r="N2992" s="20"/>
      <c r="O2992" s="130"/>
      <c r="P2992" s="126">
        <v>51442608</v>
      </c>
      <c r="Q2992" s="127">
        <v>44317</v>
      </c>
      <c r="R2992" s="29">
        <v>583000</v>
      </c>
      <c r="S2992" s="29">
        <v>793100</v>
      </c>
      <c r="T2992" s="30"/>
      <c r="U2992" s="146"/>
      <c r="V2992" s="146"/>
    </row>
    <row r="2993" spans="1:24" s="31" customFormat="1" ht="15" hidden="1" x14ac:dyDescent="0.25">
      <c r="B2993" s="89">
        <v>44416.083333333336</v>
      </c>
      <c r="C2993" s="92" t="s">
        <v>2827</v>
      </c>
      <c r="D2993" s="23"/>
      <c r="E2993" s="91">
        <v>11659600</v>
      </c>
      <c r="F2993" s="93"/>
      <c r="G2993" s="93">
        <f t="shared" si="569"/>
        <v>11659600</v>
      </c>
      <c r="H2993" s="94"/>
      <c r="I2993" s="91">
        <v>748621.36</v>
      </c>
      <c r="J2993" s="91">
        <v>99791.72</v>
      </c>
      <c r="K2993" s="25">
        <f t="shared" si="571"/>
        <v>10811186.92</v>
      </c>
      <c r="L2993" s="95">
        <f t="shared" si="570"/>
        <v>59075307</v>
      </c>
      <c r="M2993" s="20"/>
      <c r="N2993" s="20"/>
      <c r="O2993" s="130"/>
      <c r="P2993" s="126">
        <v>51753920</v>
      </c>
      <c r="Q2993" s="127">
        <v>44348</v>
      </c>
      <c r="R2993" s="29">
        <v>583000</v>
      </c>
      <c r="S2993" s="29">
        <v>793100</v>
      </c>
      <c r="T2993" s="30"/>
      <c r="U2993" s="146"/>
      <c r="V2993" s="146"/>
      <c r="W2993" s="31">
        <v>11659600</v>
      </c>
      <c r="X2993" s="131">
        <f>+E2993-W2993</f>
        <v>0</v>
      </c>
    </row>
    <row r="2994" spans="1:24" s="31" customFormat="1" ht="15" hidden="1" x14ac:dyDescent="0.25">
      <c r="B2994" s="89">
        <v>44441.083333333336</v>
      </c>
      <c r="C2994" s="92" t="s">
        <v>2828</v>
      </c>
      <c r="D2994" s="23"/>
      <c r="E2994" s="91">
        <v>11659600</v>
      </c>
      <c r="F2994" s="93"/>
      <c r="G2994" s="93">
        <f t="shared" si="569"/>
        <v>11659600</v>
      </c>
      <c r="H2994" s="94"/>
      <c r="I2994" s="91">
        <v>748621.36</v>
      </c>
      <c r="J2994" s="91">
        <v>99791.72</v>
      </c>
      <c r="K2994" s="25">
        <f t="shared" si="571"/>
        <v>10811186.92</v>
      </c>
      <c r="L2994" s="95">
        <f t="shared" si="570"/>
        <v>47415707</v>
      </c>
      <c r="M2994" s="20"/>
      <c r="N2994" s="20"/>
      <c r="O2994" s="130"/>
      <c r="P2994" s="126">
        <v>52800379</v>
      </c>
      <c r="Q2994" s="127">
        <v>44378</v>
      </c>
      <c r="R2994" s="29">
        <v>583000</v>
      </c>
      <c r="S2994" s="29">
        <v>793100</v>
      </c>
      <c r="T2994" s="30"/>
      <c r="U2994" s="146"/>
      <c r="V2994" s="146"/>
      <c r="X2994" s="131"/>
    </row>
    <row r="2995" spans="1:24" s="31" customFormat="1" ht="15" hidden="1" x14ac:dyDescent="0.25">
      <c r="B2995" s="89">
        <v>44477.083333333336</v>
      </c>
      <c r="C2995" s="92" t="s">
        <v>2829</v>
      </c>
      <c r="D2995" s="23"/>
      <c r="E2995" s="91">
        <v>11659600</v>
      </c>
      <c r="F2995" s="93"/>
      <c r="G2995" s="93">
        <f t="shared" si="569"/>
        <v>11659600</v>
      </c>
      <c r="H2995" s="94"/>
      <c r="I2995" s="91">
        <v>748621.36</v>
      </c>
      <c r="J2995" s="91">
        <v>99791.72</v>
      </c>
      <c r="K2995" s="25">
        <f t="shared" si="571"/>
        <v>10811186.92</v>
      </c>
      <c r="L2995" s="95">
        <f t="shared" si="570"/>
        <v>35756107</v>
      </c>
      <c r="M2995" s="20"/>
      <c r="N2995" s="20"/>
      <c r="O2995" s="130"/>
      <c r="P2995" s="126">
        <v>53146857</v>
      </c>
      <c r="Q2995" s="127">
        <v>44409</v>
      </c>
      <c r="R2995" s="29">
        <v>583000</v>
      </c>
      <c r="S2995" s="29">
        <v>793100</v>
      </c>
      <c r="T2995" s="30"/>
      <c r="U2995" s="146"/>
      <c r="V2995" s="146"/>
      <c r="X2995" s="131"/>
    </row>
    <row r="2996" spans="1:24" s="31" customFormat="1" ht="15" hidden="1" x14ac:dyDescent="0.25">
      <c r="B2996" s="89">
        <v>44511.125</v>
      </c>
      <c r="C2996" s="92" t="s">
        <v>2830</v>
      </c>
      <c r="D2996" s="23"/>
      <c r="E2996" s="91">
        <v>11659600</v>
      </c>
      <c r="F2996" s="93"/>
      <c r="G2996" s="93">
        <f t="shared" si="569"/>
        <v>11659600</v>
      </c>
      <c r="H2996" s="94"/>
      <c r="I2996" s="91">
        <v>748621.36</v>
      </c>
      <c r="J2996" s="91">
        <v>99791.72</v>
      </c>
      <c r="K2996" s="25">
        <f t="shared" si="571"/>
        <v>10811186.92</v>
      </c>
      <c r="L2996" s="95">
        <f t="shared" si="570"/>
        <v>24096507</v>
      </c>
      <c r="M2996" s="20"/>
      <c r="N2996" s="20"/>
      <c r="O2996" s="130"/>
      <c r="P2996" s="126">
        <v>53146819</v>
      </c>
      <c r="Q2996" s="127">
        <v>44440</v>
      </c>
      <c r="R2996" s="29">
        <v>583000</v>
      </c>
      <c r="S2996" s="29">
        <v>793100</v>
      </c>
      <c r="T2996" s="30"/>
      <c r="U2996" s="146"/>
      <c r="V2996" s="146"/>
      <c r="X2996" s="131"/>
    </row>
    <row r="2997" spans="1:24" s="31" customFormat="1" ht="15" hidden="1" x14ac:dyDescent="0.25">
      <c r="B2997" s="89">
        <v>44536.125</v>
      </c>
      <c r="C2997" s="92" t="s">
        <v>2831</v>
      </c>
      <c r="D2997" s="23"/>
      <c r="E2997" s="91">
        <v>11659600</v>
      </c>
      <c r="F2997" s="93"/>
      <c r="G2997" s="93">
        <f t="shared" si="569"/>
        <v>11659600</v>
      </c>
      <c r="H2997" s="94"/>
      <c r="I2997" s="91">
        <v>748621.36</v>
      </c>
      <c r="J2997" s="91">
        <v>99791.72</v>
      </c>
      <c r="K2997" s="25">
        <f>+G2997-H2997-I2997-J2997</f>
        <v>10811186.92</v>
      </c>
      <c r="L2997" s="95">
        <f t="shared" si="570"/>
        <v>12436907</v>
      </c>
      <c r="M2997" s="20"/>
      <c r="N2997" s="20"/>
      <c r="O2997" s="130"/>
      <c r="P2997" s="126">
        <v>54905299</v>
      </c>
      <c r="Q2997" s="127">
        <v>44470</v>
      </c>
      <c r="R2997" s="29">
        <v>583000</v>
      </c>
      <c r="S2997" s="29">
        <v>793100</v>
      </c>
      <c r="T2997" s="30"/>
      <c r="U2997" s="146"/>
      <c r="V2997" s="146"/>
      <c r="X2997" s="131"/>
    </row>
    <row r="2998" spans="1:24" s="31" customFormat="1" ht="15" hidden="1" x14ac:dyDescent="0.25">
      <c r="B2998" s="89">
        <v>44551.125</v>
      </c>
      <c r="C2998" s="92" t="s">
        <v>2832</v>
      </c>
      <c r="D2998" s="23"/>
      <c r="E2998" s="91">
        <v>11659600</v>
      </c>
      <c r="F2998" s="93"/>
      <c r="G2998" s="93">
        <f t="shared" si="569"/>
        <v>11659600</v>
      </c>
      <c r="H2998" s="94"/>
      <c r="I2998" s="91">
        <v>748621.36</v>
      </c>
      <c r="J2998" s="91">
        <v>99791.72</v>
      </c>
      <c r="K2998" s="25">
        <f>+G2998-H2998-I2998-J2998</f>
        <v>10811186.92</v>
      </c>
      <c r="L2998" s="95">
        <f t="shared" si="570"/>
        <v>777307</v>
      </c>
      <c r="M2998" s="20"/>
      <c r="N2998" s="20"/>
      <c r="O2998" s="130"/>
      <c r="P2998" s="126">
        <v>55368886</v>
      </c>
      <c r="Q2998" s="127">
        <v>44501</v>
      </c>
      <c r="R2998" s="29">
        <v>583000</v>
      </c>
      <c r="S2998" s="29">
        <v>793100</v>
      </c>
      <c r="T2998" s="30"/>
      <c r="U2998" s="146"/>
      <c r="V2998" s="146"/>
      <c r="X2998" s="131"/>
    </row>
    <row r="2999" spans="1:24" s="31" customFormat="1" ht="15" hidden="1" x14ac:dyDescent="0.25">
      <c r="B2999" s="89"/>
      <c r="C2999" s="92"/>
      <c r="D2999" s="23"/>
      <c r="E2999" s="91"/>
      <c r="F2999" s="93"/>
      <c r="G2999" s="93"/>
      <c r="H2999" s="94"/>
      <c r="I2999" s="91"/>
      <c r="J2999" s="91"/>
      <c r="K2999" s="25"/>
      <c r="L2999" s="95"/>
      <c r="M2999" s="20"/>
      <c r="N2999" s="20"/>
      <c r="O2999" s="130"/>
      <c r="P2999" s="126">
        <v>55368912</v>
      </c>
      <c r="Q2999" s="127">
        <v>44531</v>
      </c>
      <c r="R2999" s="29">
        <v>583000</v>
      </c>
      <c r="S2999" s="29">
        <v>793100</v>
      </c>
      <c r="T2999" s="30"/>
      <c r="U2999" s="146"/>
      <c r="V2999" s="146"/>
      <c r="X2999" s="131"/>
    </row>
    <row r="3000" spans="1:24" s="31" customFormat="1" ht="15" hidden="1" x14ac:dyDescent="0.25">
      <c r="B3000" s="89"/>
      <c r="C3000" s="92"/>
      <c r="D3000" s="23"/>
      <c r="E3000" s="91"/>
      <c r="F3000" s="93"/>
      <c r="G3000" s="93"/>
      <c r="H3000" s="94"/>
      <c r="I3000" s="91"/>
      <c r="J3000" s="91"/>
      <c r="K3000" s="25"/>
      <c r="L3000" s="95"/>
      <c r="M3000" s="20"/>
      <c r="N3000" s="20"/>
      <c r="O3000" s="130"/>
      <c r="P3000" s="126"/>
      <c r="Q3000" s="127"/>
      <c r="R3000" s="152">
        <f>SUM(R2987:R2999)</f>
        <v>7562000</v>
      </c>
      <c r="S3000" s="123">
        <f>SUM(S2987:S2999)</f>
        <v>10287100</v>
      </c>
      <c r="T3000" s="30"/>
      <c r="U3000" s="146"/>
      <c r="V3000" s="146"/>
      <c r="X3000" s="131"/>
    </row>
    <row r="3001" spans="1:24" s="31" customFormat="1" ht="15" hidden="1" x14ac:dyDescent="0.25">
      <c r="A3001" s="31">
        <v>112021</v>
      </c>
      <c r="B3001" s="139" t="s">
        <v>2833</v>
      </c>
      <c r="C3001" s="140"/>
      <c r="D3001" s="141">
        <v>107100000</v>
      </c>
      <c r="E3001" s="141">
        <f>+D3001</f>
        <v>107100000</v>
      </c>
      <c r="F3001" s="141"/>
      <c r="G3001" s="141"/>
      <c r="H3001" s="141"/>
      <c r="I3001" s="141"/>
      <c r="J3001" s="141"/>
      <c r="K3001" s="141"/>
      <c r="L3001" s="141">
        <f>+D3001</f>
        <v>107100000</v>
      </c>
      <c r="M3001" s="142"/>
      <c r="N3001" s="142"/>
      <c r="P3001" s="126"/>
      <c r="Q3001" s="126"/>
      <c r="R3001" s="29"/>
      <c r="S3001" s="29"/>
      <c r="T3001" s="30"/>
    </row>
    <row r="3002" spans="1:24" s="31" customFormat="1" ht="15" hidden="1" x14ac:dyDescent="0.25">
      <c r="B3002" s="89">
        <v>44235.125</v>
      </c>
      <c r="C3002" s="92" t="s">
        <v>2834</v>
      </c>
      <c r="D3002" s="23"/>
      <c r="E3002" s="91">
        <v>6000000</v>
      </c>
      <c r="F3002" s="93"/>
      <c r="G3002" s="93">
        <f t="shared" ref="G3002:G3013" si="572">+E3002</f>
        <v>6000000</v>
      </c>
      <c r="H3002" s="94"/>
      <c r="I3002" s="94">
        <v>11455.1</v>
      </c>
      <c r="J3002" s="94">
        <v>51352.56</v>
      </c>
      <c r="K3002" s="25">
        <f t="shared" ref="K3002:K3013" si="573">+G3002-H3002-I3002-J3002</f>
        <v>5937192.3400000008</v>
      </c>
      <c r="L3002" s="95">
        <f t="shared" ref="L3002:L3013" si="574">+L3001-G3002</f>
        <v>101100000</v>
      </c>
      <c r="M3002" s="96"/>
      <c r="N3002" s="96"/>
      <c r="O3002" s="149">
        <f>+VLOOKUP(A3001,'[1]ANEXO 7 - PPTO VIG 2021'!$H$8:$AB$160,21,)-L3013</f>
        <v>-2100000</v>
      </c>
      <c r="P3002" s="126">
        <v>1035296168</v>
      </c>
      <c r="Q3002" s="127">
        <v>44197</v>
      </c>
      <c r="R3002" s="29">
        <v>875000</v>
      </c>
      <c r="S3002" s="29">
        <v>1190000</v>
      </c>
      <c r="T3002" s="30">
        <f>+L3001-2100000</f>
        <v>105000000</v>
      </c>
      <c r="U3002" s="146">
        <f>+T3002*40%</f>
        <v>42000000</v>
      </c>
      <c r="V3002" s="146"/>
    </row>
    <row r="3003" spans="1:24" s="31" customFormat="1" ht="15" hidden="1" x14ac:dyDescent="0.25">
      <c r="B3003" s="89">
        <v>44272.083333333336</v>
      </c>
      <c r="C3003" s="92" t="s">
        <v>2835</v>
      </c>
      <c r="D3003" s="23"/>
      <c r="E3003" s="91">
        <v>9000000</v>
      </c>
      <c r="F3003" s="93"/>
      <c r="G3003" s="93">
        <f t="shared" si="572"/>
        <v>9000000</v>
      </c>
      <c r="H3003" s="94"/>
      <c r="I3003" s="94">
        <v>345988.12</v>
      </c>
      <c r="J3003" s="94">
        <v>77028.84</v>
      </c>
      <c r="K3003" s="25">
        <f t="shared" si="573"/>
        <v>8576983.040000001</v>
      </c>
      <c r="L3003" s="95">
        <f t="shared" si="574"/>
        <v>92100000</v>
      </c>
      <c r="M3003" s="96"/>
      <c r="N3003" s="96"/>
      <c r="O3003" s="130"/>
      <c r="P3003" s="126">
        <v>1036086913</v>
      </c>
      <c r="Q3003" s="127">
        <v>44228</v>
      </c>
      <c r="R3003" s="29">
        <v>1125000</v>
      </c>
      <c r="S3003" s="29">
        <v>1530000</v>
      </c>
      <c r="T3003" s="30"/>
      <c r="U3003" s="146"/>
      <c r="V3003" s="146"/>
    </row>
    <row r="3004" spans="1:24" s="31" customFormat="1" ht="15" hidden="1" x14ac:dyDescent="0.25">
      <c r="B3004" s="89">
        <v>44301.083333333336</v>
      </c>
      <c r="C3004" s="92" t="s">
        <v>2836</v>
      </c>
      <c r="D3004" s="23"/>
      <c r="E3004" s="91">
        <v>9000000</v>
      </c>
      <c r="F3004" s="93"/>
      <c r="G3004" s="93">
        <f t="shared" si="572"/>
        <v>9000000</v>
      </c>
      <c r="H3004" s="94"/>
      <c r="I3004" s="91">
        <v>349707.36</v>
      </c>
      <c r="J3004" s="91">
        <v>77028.84</v>
      </c>
      <c r="K3004" s="25">
        <f t="shared" si="573"/>
        <v>8573263.8000000007</v>
      </c>
      <c r="L3004" s="95">
        <f t="shared" si="574"/>
        <v>83100000</v>
      </c>
      <c r="M3004" s="96"/>
      <c r="N3004" s="96"/>
      <c r="O3004" s="130"/>
      <c r="P3004" s="126">
        <v>1036647326</v>
      </c>
      <c r="Q3004" s="127">
        <v>44256</v>
      </c>
      <c r="R3004" s="29">
        <v>500000</v>
      </c>
      <c r="S3004" s="29">
        <v>680000</v>
      </c>
      <c r="T3004" s="30"/>
      <c r="U3004" s="146">
        <f>+U3002*12.5%</f>
        <v>5250000</v>
      </c>
      <c r="V3004" s="150" t="s">
        <v>2769</v>
      </c>
    </row>
    <row r="3005" spans="1:24" s="31" customFormat="1" ht="15" hidden="1" x14ac:dyDescent="0.25">
      <c r="B3005" s="89">
        <v>44329.083333333336</v>
      </c>
      <c r="C3005" s="92" t="s">
        <v>2837</v>
      </c>
      <c r="D3005" s="23"/>
      <c r="E3005" s="91">
        <v>9000000</v>
      </c>
      <c r="F3005" s="93"/>
      <c r="G3005" s="93">
        <f t="shared" si="572"/>
        <v>9000000</v>
      </c>
      <c r="H3005" s="94"/>
      <c r="I3005" s="94">
        <v>349707.36</v>
      </c>
      <c r="J3005" s="94">
        <v>77028.84</v>
      </c>
      <c r="K3005" s="25">
        <f t="shared" si="573"/>
        <v>8573263.8000000007</v>
      </c>
      <c r="L3005" s="95">
        <f t="shared" si="574"/>
        <v>74100000</v>
      </c>
      <c r="M3005" s="20">
        <v>9000000</v>
      </c>
      <c r="N3005" s="20">
        <f>+G3005-M3005</f>
        <v>0</v>
      </c>
      <c r="O3005" s="130"/>
      <c r="P3005" s="126">
        <v>1037435555</v>
      </c>
      <c r="Q3005" s="127">
        <v>44287</v>
      </c>
      <c r="R3005" s="29">
        <v>500000</v>
      </c>
      <c r="S3005" s="29">
        <v>680000</v>
      </c>
      <c r="T3005" s="30"/>
      <c r="U3005" s="146">
        <f>+U3002*16%</f>
        <v>6720000</v>
      </c>
      <c r="V3005" s="151" t="s">
        <v>2771</v>
      </c>
    </row>
    <row r="3006" spans="1:24" s="31" customFormat="1" ht="15" hidden="1" x14ac:dyDescent="0.25">
      <c r="B3006" s="89">
        <v>44356.083333333336</v>
      </c>
      <c r="C3006" s="92" t="s">
        <v>2838</v>
      </c>
      <c r="D3006" s="23"/>
      <c r="E3006" s="91">
        <v>9000000</v>
      </c>
      <c r="F3006" s="93"/>
      <c r="G3006" s="93">
        <f t="shared" si="572"/>
        <v>9000000</v>
      </c>
      <c r="H3006" s="94"/>
      <c r="I3006" s="94">
        <v>350006.61</v>
      </c>
      <c r="J3006" s="94">
        <v>77028.84</v>
      </c>
      <c r="K3006" s="25">
        <f t="shared" si="573"/>
        <v>8572964.5500000007</v>
      </c>
      <c r="L3006" s="95">
        <f t="shared" si="574"/>
        <v>65100000</v>
      </c>
      <c r="M3006" s="20"/>
      <c r="N3006" s="20"/>
      <c r="O3006" s="130"/>
      <c r="P3006" s="126">
        <v>1038064805</v>
      </c>
      <c r="Q3006" s="127">
        <v>44317</v>
      </c>
      <c r="R3006" s="29">
        <v>450000</v>
      </c>
      <c r="S3006" s="29">
        <v>576000</v>
      </c>
      <c r="T3006" s="30"/>
      <c r="U3006" s="146"/>
      <c r="V3006" s="146"/>
    </row>
    <row r="3007" spans="1:24" s="31" customFormat="1" ht="15" hidden="1" x14ac:dyDescent="0.25">
      <c r="B3007" s="89">
        <v>44385.083333333336</v>
      </c>
      <c r="C3007" s="92" t="s">
        <v>2839</v>
      </c>
      <c r="D3007" s="23"/>
      <c r="E3007" s="91">
        <v>9000000</v>
      </c>
      <c r="F3007" s="93"/>
      <c r="G3007" s="93">
        <f t="shared" si="572"/>
        <v>9000000</v>
      </c>
      <c r="H3007" s="94"/>
      <c r="I3007" s="94">
        <v>350006.61</v>
      </c>
      <c r="J3007" s="94">
        <v>77028.84</v>
      </c>
      <c r="K3007" s="25">
        <f t="shared" si="573"/>
        <v>8572964.5500000007</v>
      </c>
      <c r="L3007" s="95">
        <f t="shared" si="574"/>
        <v>56100000</v>
      </c>
      <c r="M3007" s="20"/>
      <c r="N3007" s="20"/>
      <c r="O3007" s="130"/>
      <c r="P3007" s="126">
        <v>1038701554</v>
      </c>
      <c r="Q3007" s="127">
        <v>44348</v>
      </c>
      <c r="R3007" s="29">
        <v>450000</v>
      </c>
      <c r="S3007" s="29">
        <v>576000</v>
      </c>
      <c r="T3007" s="30"/>
      <c r="U3007" s="146"/>
      <c r="V3007" s="146"/>
    </row>
    <row r="3008" spans="1:24" s="31" customFormat="1" ht="15" hidden="1" x14ac:dyDescent="0.25">
      <c r="B3008" s="89">
        <v>44419.083333333336</v>
      </c>
      <c r="C3008" s="92" t="s">
        <v>2840</v>
      </c>
      <c r="D3008" s="23"/>
      <c r="E3008" s="91">
        <v>9000000</v>
      </c>
      <c r="F3008" s="93"/>
      <c r="G3008" s="93">
        <f t="shared" si="572"/>
        <v>9000000</v>
      </c>
      <c r="H3008" s="94"/>
      <c r="I3008" s="94">
        <v>350006.61</v>
      </c>
      <c r="J3008" s="94">
        <v>77028.84</v>
      </c>
      <c r="K3008" s="25">
        <f t="shared" si="573"/>
        <v>8572964.5500000007</v>
      </c>
      <c r="L3008" s="95">
        <f t="shared" si="574"/>
        <v>47100000</v>
      </c>
      <c r="M3008" s="20"/>
      <c r="N3008" s="20"/>
      <c r="O3008" s="130"/>
      <c r="P3008" s="126">
        <v>1039373803</v>
      </c>
      <c r="Q3008" s="127">
        <v>44378</v>
      </c>
      <c r="R3008" s="29">
        <v>450000</v>
      </c>
      <c r="S3008" s="29">
        <v>576000</v>
      </c>
      <c r="T3008" s="30"/>
      <c r="U3008" s="146"/>
      <c r="V3008" s="146"/>
      <c r="W3008" s="31">
        <v>9000000</v>
      </c>
      <c r="X3008" s="131">
        <f>+E3008-W3008</f>
        <v>0</v>
      </c>
    </row>
    <row r="3009" spans="1:24" s="31" customFormat="1" ht="15" hidden="1" x14ac:dyDescent="0.25">
      <c r="B3009" s="89">
        <v>44446.083333333336</v>
      </c>
      <c r="C3009" s="92" t="s">
        <v>2841</v>
      </c>
      <c r="D3009" s="23"/>
      <c r="E3009" s="91">
        <v>9000000</v>
      </c>
      <c r="F3009" s="93"/>
      <c r="G3009" s="93">
        <f t="shared" si="572"/>
        <v>9000000</v>
      </c>
      <c r="H3009" s="94"/>
      <c r="I3009" s="94">
        <v>350006.61</v>
      </c>
      <c r="J3009" s="94">
        <v>77028.84</v>
      </c>
      <c r="K3009" s="25">
        <f t="shared" si="573"/>
        <v>8572964.5500000007</v>
      </c>
      <c r="L3009" s="95">
        <f t="shared" si="574"/>
        <v>38100000</v>
      </c>
      <c r="M3009" s="20"/>
      <c r="N3009" s="20"/>
      <c r="O3009" s="130"/>
      <c r="P3009" s="126">
        <v>9423115193</v>
      </c>
      <c r="Q3009" s="127">
        <v>44409</v>
      </c>
      <c r="R3009" s="29">
        <v>450000</v>
      </c>
      <c r="S3009" s="29">
        <v>576000</v>
      </c>
      <c r="T3009" s="30"/>
      <c r="U3009" s="146"/>
      <c r="V3009" s="146"/>
      <c r="X3009" s="131"/>
    </row>
    <row r="3010" spans="1:24" s="31" customFormat="1" ht="15" hidden="1" x14ac:dyDescent="0.25">
      <c r="B3010" s="89">
        <v>44482.083333333336</v>
      </c>
      <c r="C3010" s="92" t="s">
        <v>2842</v>
      </c>
      <c r="D3010" s="23"/>
      <c r="E3010" s="91">
        <v>9000000</v>
      </c>
      <c r="F3010" s="93"/>
      <c r="G3010" s="93">
        <f t="shared" si="572"/>
        <v>9000000</v>
      </c>
      <c r="H3010" s="94"/>
      <c r="I3010" s="94">
        <v>348966.35</v>
      </c>
      <c r="J3010" s="94">
        <v>77028.84</v>
      </c>
      <c r="K3010" s="25">
        <f t="shared" si="573"/>
        <v>8574004.8100000005</v>
      </c>
      <c r="L3010" s="95">
        <f t="shared" si="574"/>
        <v>29100000</v>
      </c>
      <c r="M3010" s="20"/>
      <c r="N3010" s="20"/>
      <c r="O3010" s="130"/>
      <c r="P3010" s="126">
        <v>1040753960</v>
      </c>
      <c r="Q3010" s="127">
        <v>44440</v>
      </c>
      <c r="R3010" s="29">
        <v>625000</v>
      </c>
      <c r="S3010" s="29">
        <v>850000</v>
      </c>
      <c r="T3010" s="30"/>
      <c r="U3010" s="146"/>
      <c r="V3010" s="146"/>
      <c r="X3010" s="131"/>
    </row>
    <row r="3011" spans="1:24" s="31" customFormat="1" ht="15" hidden="1" x14ac:dyDescent="0.25">
      <c r="B3011" s="89">
        <v>44519.125</v>
      </c>
      <c r="C3011" s="92" t="s">
        <v>2843</v>
      </c>
      <c r="D3011" s="23"/>
      <c r="E3011" s="91">
        <v>9000000</v>
      </c>
      <c r="F3011" s="93"/>
      <c r="G3011" s="93">
        <f t="shared" si="572"/>
        <v>9000000</v>
      </c>
      <c r="H3011" s="94"/>
      <c r="I3011" s="94">
        <v>348966.35</v>
      </c>
      <c r="J3011" s="94">
        <v>77028.84</v>
      </c>
      <c r="K3011" s="25">
        <f t="shared" si="573"/>
        <v>8574004.8100000005</v>
      </c>
      <c r="L3011" s="95">
        <f t="shared" si="574"/>
        <v>20100000</v>
      </c>
      <c r="M3011" s="20"/>
      <c r="N3011" s="20"/>
      <c r="O3011" s="130"/>
      <c r="P3011" s="126">
        <v>1041347370</v>
      </c>
      <c r="Q3011" s="127">
        <v>44470</v>
      </c>
      <c r="R3011" s="29">
        <v>625000</v>
      </c>
      <c r="S3011" s="29">
        <v>850000</v>
      </c>
      <c r="T3011" s="30"/>
      <c r="U3011" s="146"/>
      <c r="V3011" s="146"/>
      <c r="X3011" s="131"/>
    </row>
    <row r="3012" spans="1:24" s="31" customFormat="1" ht="15" hidden="1" x14ac:dyDescent="0.25">
      <c r="B3012" s="89">
        <v>44545.125</v>
      </c>
      <c r="C3012" s="92" t="s">
        <v>2844</v>
      </c>
      <c r="D3012" s="23"/>
      <c r="E3012" s="91">
        <v>9000000</v>
      </c>
      <c r="F3012" s="93"/>
      <c r="G3012" s="93">
        <f t="shared" si="572"/>
        <v>9000000</v>
      </c>
      <c r="H3012" s="94"/>
      <c r="I3012" s="94">
        <v>349707.36</v>
      </c>
      <c r="J3012" s="94">
        <v>77028.84</v>
      </c>
      <c r="K3012" s="25">
        <f t="shared" si="573"/>
        <v>8573263.8000000007</v>
      </c>
      <c r="L3012" s="95">
        <f t="shared" si="574"/>
        <v>11100000</v>
      </c>
      <c r="M3012" s="20"/>
      <c r="N3012" s="20"/>
      <c r="O3012" s="130"/>
      <c r="P3012" s="126">
        <v>1042029252</v>
      </c>
      <c r="Q3012" s="127">
        <v>44501</v>
      </c>
      <c r="R3012" s="29">
        <v>500000</v>
      </c>
      <c r="S3012" s="29">
        <v>680000</v>
      </c>
      <c r="T3012" s="30"/>
      <c r="U3012" s="146"/>
      <c r="V3012" s="146"/>
      <c r="X3012" s="131"/>
    </row>
    <row r="3013" spans="1:24" s="31" customFormat="1" ht="15" hidden="1" x14ac:dyDescent="0.25">
      <c r="B3013" s="89">
        <v>44551.125</v>
      </c>
      <c r="C3013" s="92" t="s">
        <v>2845</v>
      </c>
      <c r="D3013" s="23"/>
      <c r="E3013" s="91">
        <v>9000000</v>
      </c>
      <c r="F3013" s="93"/>
      <c r="G3013" s="93">
        <f t="shared" si="572"/>
        <v>9000000</v>
      </c>
      <c r="H3013" s="94"/>
      <c r="I3013" s="94">
        <v>350006.61</v>
      </c>
      <c r="J3013" s="94">
        <v>77028.84</v>
      </c>
      <c r="K3013" s="25">
        <f t="shared" si="573"/>
        <v>8572964.5500000007</v>
      </c>
      <c r="L3013" s="95">
        <f t="shared" si="574"/>
        <v>2100000</v>
      </c>
      <c r="M3013" s="20"/>
      <c r="N3013" s="20"/>
      <c r="O3013" s="130"/>
      <c r="P3013" s="126">
        <v>1042326650</v>
      </c>
      <c r="Q3013" s="127">
        <v>44531</v>
      </c>
      <c r="R3013" s="29">
        <v>450000</v>
      </c>
      <c r="S3013" s="29">
        <v>576000</v>
      </c>
      <c r="T3013" s="30"/>
      <c r="U3013" s="146"/>
      <c r="V3013" s="146"/>
      <c r="X3013" s="131"/>
    </row>
    <row r="3014" spans="1:24" s="31" customFormat="1" ht="15" hidden="1" x14ac:dyDescent="0.25">
      <c r="B3014" s="89"/>
      <c r="C3014" s="92"/>
      <c r="D3014" s="23"/>
      <c r="E3014" s="91"/>
      <c r="F3014" s="93"/>
      <c r="G3014" s="93"/>
      <c r="H3014" s="94"/>
      <c r="I3014" s="94"/>
      <c r="J3014" s="94"/>
      <c r="K3014" s="25"/>
      <c r="L3014" s="95"/>
      <c r="M3014" s="20"/>
      <c r="N3014" s="20"/>
      <c r="O3014" s="130"/>
      <c r="P3014" s="126"/>
      <c r="Q3014" s="127"/>
      <c r="R3014" s="152">
        <f>SUM(R3002:R3013)</f>
        <v>7000000</v>
      </c>
      <c r="S3014" s="123">
        <f>SUM(S3002:S3013)</f>
        <v>9340000</v>
      </c>
      <c r="T3014" s="30"/>
      <c r="U3014" s="146"/>
      <c r="V3014" s="146"/>
      <c r="X3014" s="131"/>
    </row>
    <row r="3015" spans="1:24" s="31" customFormat="1" ht="15" hidden="1" x14ac:dyDescent="0.25">
      <c r="A3015" s="31">
        <v>122021</v>
      </c>
      <c r="B3015" s="139" t="s">
        <v>2846</v>
      </c>
      <c r="C3015" s="140"/>
      <c r="D3015" s="141">
        <v>72800000</v>
      </c>
      <c r="E3015" s="141">
        <f>+D3015</f>
        <v>72800000</v>
      </c>
      <c r="F3015" s="141"/>
      <c r="G3015" s="141"/>
      <c r="H3015" s="141"/>
      <c r="I3015" s="141"/>
      <c r="J3015" s="141"/>
      <c r="K3015" s="141"/>
      <c r="L3015" s="141">
        <f>+D3015</f>
        <v>72800000</v>
      </c>
      <c r="M3015" s="142"/>
      <c r="N3015" s="142"/>
      <c r="P3015" s="126"/>
      <c r="Q3015" s="126"/>
      <c r="R3015" s="29"/>
      <c r="S3015" s="29"/>
      <c r="T3015" s="30"/>
    </row>
    <row r="3016" spans="1:24" s="31" customFormat="1" ht="15" hidden="1" x14ac:dyDescent="0.25">
      <c r="B3016" s="89">
        <v>44237.125</v>
      </c>
      <c r="C3016" s="92" t="s">
        <v>2847</v>
      </c>
      <c r="D3016" s="23"/>
      <c r="E3016" s="91">
        <v>8320000</v>
      </c>
      <c r="F3016" s="93"/>
      <c r="G3016" s="93">
        <f t="shared" ref="G3016:G3023" si="575">+E3016</f>
        <v>8320000</v>
      </c>
      <c r="H3016" s="94"/>
      <c r="I3016" s="94">
        <v>410623.98</v>
      </c>
      <c r="J3016" s="94">
        <v>80371.199999999997</v>
      </c>
      <c r="K3016" s="25">
        <f t="shared" ref="K3016:K3023" si="576">+G3016-H3016-I3016-J3016</f>
        <v>7829004.8199999994</v>
      </c>
      <c r="L3016" s="95">
        <f t="shared" ref="L3016:L3021" si="577">+L3015-G3016</f>
        <v>64480000</v>
      </c>
      <c r="M3016" s="96"/>
      <c r="N3016" s="96"/>
      <c r="O3016" s="149">
        <f>+VLOOKUP(A3015,'[1]ANEXO 7 - PPTO VIG 2021'!$H$8:$AB$160,21,)-L3023</f>
        <v>0</v>
      </c>
      <c r="P3016" s="143">
        <v>9413898252</v>
      </c>
      <c r="Q3016" s="144">
        <v>44166</v>
      </c>
      <c r="R3016" s="145">
        <v>801900</v>
      </c>
      <c r="S3016" s="145">
        <v>1090600</v>
      </c>
      <c r="T3016" s="30"/>
      <c r="U3016" s="146"/>
      <c r="V3016" s="146"/>
    </row>
    <row r="3017" spans="1:24" s="31" customFormat="1" ht="15" hidden="1" x14ac:dyDescent="0.25">
      <c r="B3017" s="89">
        <v>44267.125</v>
      </c>
      <c r="C3017" s="92" t="s">
        <v>2848</v>
      </c>
      <c r="D3017" s="23"/>
      <c r="E3017" s="91">
        <v>10400000</v>
      </c>
      <c r="F3017" s="93"/>
      <c r="G3017" s="93">
        <f t="shared" si="575"/>
        <v>10400000</v>
      </c>
      <c r="H3017" s="94"/>
      <c r="I3017" s="94">
        <v>607415.01</v>
      </c>
      <c r="J3017" s="94">
        <v>91596.12</v>
      </c>
      <c r="K3017" s="25">
        <f t="shared" si="576"/>
        <v>9700988.870000001</v>
      </c>
      <c r="L3017" s="95">
        <f t="shared" si="577"/>
        <v>54080000</v>
      </c>
      <c r="M3017" s="96"/>
      <c r="N3017" s="96"/>
      <c r="O3017" s="130"/>
      <c r="P3017" s="156">
        <v>9416774473</v>
      </c>
      <c r="Q3017" s="157">
        <v>44197</v>
      </c>
      <c r="R3017" s="158">
        <v>402600</v>
      </c>
      <c r="S3017" s="158">
        <v>515400</v>
      </c>
      <c r="T3017" s="30"/>
      <c r="U3017" s="146"/>
      <c r="V3017" s="146"/>
    </row>
    <row r="3018" spans="1:24" s="31" customFormat="1" ht="15" hidden="1" x14ac:dyDescent="0.25">
      <c r="B3018" s="89">
        <v>44293.083333333336</v>
      </c>
      <c r="C3018" s="92" t="s">
        <v>2849</v>
      </c>
      <c r="D3018" s="23"/>
      <c r="E3018" s="91">
        <v>10400000</v>
      </c>
      <c r="F3018" s="93"/>
      <c r="G3018" s="93">
        <f t="shared" si="575"/>
        <v>10400000</v>
      </c>
      <c r="H3018" s="94"/>
      <c r="I3018" s="91">
        <v>550190.01</v>
      </c>
      <c r="J3018" s="91">
        <v>89011.1</v>
      </c>
      <c r="K3018" s="25">
        <f t="shared" si="576"/>
        <v>9760798.8900000006</v>
      </c>
      <c r="L3018" s="95">
        <f t="shared" si="577"/>
        <v>43680000</v>
      </c>
      <c r="M3018" s="96"/>
      <c r="N3018" s="96"/>
      <c r="O3018" s="130"/>
      <c r="P3018" s="143" t="s">
        <v>2850</v>
      </c>
      <c r="Q3018" s="144">
        <v>44228</v>
      </c>
      <c r="R3018" s="145">
        <f>400000+120000</f>
        <v>520000</v>
      </c>
      <c r="S3018" s="145">
        <f>512000+195200</f>
        <v>707200</v>
      </c>
      <c r="T3018" s="30"/>
      <c r="U3018" s="146"/>
      <c r="V3018" s="146"/>
    </row>
    <row r="3019" spans="1:24" s="31" customFormat="1" ht="15" hidden="1" x14ac:dyDescent="0.25">
      <c r="B3019" s="89">
        <v>44328.083333333336</v>
      </c>
      <c r="C3019" s="92" t="s">
        <v>2851</v>
      </c>
      <c r="D3019" s="23"/>
      <c r="E3019" s="91">
        <v>10400000</v>
      </c>
      <c r="F3019" s="93"/>
      <c r="G3019" s="93">
        <f t="shared" si="575"/>
        <v>10400000</v>
      </c>
      <c r="H3019" s="94"/>
      <c r="I3019" s="94">
        <v>550190.01</v>
      </c>
      <c r="J3019" s="94">
        <v>89011.1</v>
      </c>
      <c r="K3019" s="25">
        <f t="shared" si="576"/>
        <v>9760798.8900000006</v>
      </c>
      <c r="L3019" s="95">
        <f t="shared" si="577"/>
        <v>33280000</v>
      </c>
      <c r="M3019" s="20">
        <v>10400000</v>
      </c>
      <c r="N3019" s="20">
        <f>+G3019-M3019</f>
        <v>0</v>
      </c>
      <c r="O3019" s="130"/>
      <c r="P3019" s="126">
        <v>9419478884</v>
      </c>
      <c r="Q3019" s="127">
        <v>44256</v>
      </c>
      <c r="R3019" s="29">
        <v>520000</v>
      </c>
      <c r="S3019" s="29">
        <v>707200</v>
      </c>
      <c r="T3019" s="30"/>
      <c r="U3019" s="146"/>
      <c r="V3019" s="146"/>
    </row>
    <row r="3020" spans="1:24" s="31" customFormat="1" ht="15" hidden="1" x14ac:dyDescent="0.25">
      <c r="B3020" s="89">
        <v>44357.083333333336</v>
      </c>
      <c r="C3020" s="92" t="s">
        <v>2852</v>
      </c>
      <c r="D3020" s="23"/>
      <c r="E3020" s="91">
        <v>10400000</v>
      </c>
      <c r="F3020" s="93"/>
      <c r="G3020" s="93">
        <f t="shared" si="575"/>
        <v>10400000</v>
      </c>
      <c r="H3020" s="94"/>
      <c r="I3020" s="94">
        <v>550190.01</v>
      </c>
      <c r="J3020" s="94">
        <v>89011.1</v>
      </c>
      <c r="K3020" s="25">
        <f t="shared" si="576"/>
        <v>9760798.8900000006</v>
      </c>
      <c r="L3020" s="95">
        <f t="shared" si="577"/>
        <v>22880000</v>
      </c>
      <c r="M3020" s="20"/>
      <c r="N3020" s="20"/>
      <c r="O3020" s="130"/>
      <c r="P3020" s="126">
        <v>9419570922</v>
      </c>
      <c r="Q3020" s="127">
        <v>44287</v>
      </c>
      <c r="R3020" s="29">
        <v>520000</v>
      </c>
      <c r="S3020" s="29">
        <v>707200</v>
      </c>
      <c r="T3020" s="30"/>
      <c r="U3020" s="146"/>
      <c r="V3020" s="146"/>
    </row>
    <row r="3021" spans="1:24" s="31" customFormat="1" ht="15" hidden="1" x14ac:dyDescent="0.25">
      <c r="B3021" s="89">
        <v>44385.083333333336</v>
      </c>
      <c r="C3021" s="92" t="s">
        <v>2853</v>
      </c>
      <c r="D3021" s="23"/>
      <c r="E3021" s="91">
        <v>10400000</v>
      </c>
      <c r="F3021" s="93"/>
      <c r="G3021" s="93">
        <f t="shared" si="575"/>
        <v>10400000</v>
      </c>
      <c r="H3021" s="94"/>
      <c r="I3021" s="94">
        <v>550190.01</v>
      </c>
      <c r="J3021" s="94">
        <v>89011.1</v>
      </c>
      <c r="K3021" s="25">
        <f t="shared" si="576"/>
        <v>9760798.8900000006</v>
      </c>
      <c r="L3021" s="95">
        <f t="shared" si="577"/>
        <v>12480000</v>
      </c>
      <c r="M3021" s="20"/>
      <c r="N3021" s="20"/>
      <c r="O3021" s="130"/>
      <c r="P3021" s="126">
        <v>9420813712</v>
      </c>
      <c r="Q3021" s="127">
        <v>44317</v>
      </c>
      <c r="R3021" s="29">
        <v>520000</v>
      </c>
      <c r="S3021" s="29">
        <v>707200</v>
      </c>
      <c r="T3021" s="30"/>
      <c r="U3021" s="146"/>
      <c r="V3021" s="146"/>
    </row>
    <row r="3022" spans="1:24" s="31" customFormat="1" ht="15" hidden="1" x14ac:dyDescent="0.25">
      <c r="B3022" s="89">
        <v>44417.083333333336</v>
      </c>
      <c r="C3022" s="92" t="s">
        <v>2854</v>
      </c>
      <c r="D3022" s="23"/>
      <c r="E3022" s="91">
        <v>10400000</v>
      </c>
      <c r="F3022" s="93"/>
      <c r="G3022" s="93">
        <f t="shared" si="575"/>
        <v>10400000</v>
      </c>
      <c r="H3022" s="94"/>
      <c r="I3022" s="94">
        <v>550190.01</v>
      </c>
      <c r="J3022" s="94">
        <v>89011.1</v>
      </c>
      <c r="K3022" s="25">
        <f t="shared" si="576"/>
        <v>9760798.8900000006</v>
      </c>
      <c r="L3022" s="95">
        <f>+L3021-G3022</f>
        <v>2080000</v>
      </c>
      <c r="M3022" s="20"/>
      <c r="N3022" s="20"/>
      <c r="O3022" s="130"/>
      <c r="P3022" s="126">
        <v>9421935612</v>
      </c>
      <c r="Q3022" s="127">
        <v>44348</v>
      </c>
      <c r="R3022" s="29">
        <v>520000</v>
      </c>
      <c r="S3022" s="29">
        <v>707200</v>
      </c>
      <c r="T3022" s="30"/>
      <c r="U3022" s="146"/>
      <c r="V3022" s="146"/>
      <c r="W3022" s="31">
        <v>10400000</v>
      </c>
      <c r="X3022" s="131">
        <f>+E3022-W3022</f>
        <v>0</v>
      </c>
    </row>
    <row r="3023" spans="1:24" s="31" customFormat="1" ht="15" hidden="1" x14ac:dyDescent="0.25">
      <c r="B3023" s="89">
        <v>44446.083333333336</v>
      </c>
      <c r="C3023" s="92" t="s">
        <v>2855</v>
      </c>
      <c r="D3023" s="23"/>
      <c r="E3023" s="91">
        <v>2080000</v>
      </c>
      <c r="F3023" s="93"/>
      <c r="G3023" s="93">
        <f t="shared" si="575"/>
        <v>2080000</v>
      </c>
      <c r="H3023" s="94"/>
      <c r="I3023" s="94"/>
      <c r="J3023" s="94">
        <v>17802.22</v>
      </c>
      <c r="K3023" s="25">
        <f t="shared" si="576"/>
        <v>2062197.78</v>
      </c>
      <c r="L3023" s="95">
        <f>+L3022-G3023</f>
        <v>0</v>
      </c>
      <c r="M3023" s="20"/>
      <c r="N3023" s="20"/>
      <c r="O3023" s="130"/>
      <c r="P3023" s="159">
        <v>9423115193</v>
      </c>
      <c r="Q3023" s="127">
        <v>44378</v>
      </c>
      <c r="R3023" s="29">
        <v>520000</v>
      </c>
      <c r="S3023" s="29">
        <v>707200</v>
      </c>
      <c r="T3023" s="30"/>
      <c r="U3023" s="146"/>
      <c r="V3023" s="146"/>
      <c r="X3023" s="131"/>
    </row>
    <row r="3024" spans="1:24" ht="18" hidden="1" customHeight="1" x14ac:dyDescent="0.25">
      <c r="A3024" s="21">
        <v>232021</v>
      </c>
      <c r="B3024" s="139" t="s">
        <v>2856</v>
      </c>
      <c r="C3024" s="140"/>
      <c r="D3024" s="141">
        <v>197766667</v>
      </c>
      <c r="E3024" s="141">
        <f>+D3024</f>
        <v>197766667</v>
      </c>
      <c r="F3024" s="141"/>
      <c r="G3024" s="141"/>
      <c r="H3024" s="141"/>
      <c r="I3024" s="141"/>
      <c r="J3024" s="141"/>
      <c r="K3024" s="141"/>
      <c r="L3024" s="141">
        <f>+D3024</f>
        <v>197766667</v>
      </c>
      <c r="M3024" s="142"/>
      <c r="N3024" s="142"/>
    </row>
    <row r="3025" spans="1:24" s="31" customFormat="1" ht="15" hidden="1" x14ac:dyDescent="0.25">
      <c r="B3025" s="89">
        <v>44235</v>
      </c>
      <c r="C3025" s="92" t="s">
        <v>2857</v>
      </c>
      <c r="D3025" s="23"/>
      <c r="E3025" s="91">
        <v>10766667</v>
      </c>
      <c r="F3025" s="93"/>
      <c r="G3025" s="93">
        <f t="shared" ref="G3025:G3036" si="578">+E3025</f>
        <v>10766667</v>
      </c>
      <c r="H3025" s="94">
        <v>257857.2</v>
      </c>
      <c r="I3025" s="94">
        <v>349655.77</v>
      </c>
      <c r="J3025" s="94">
        <v>77436.399999999994</v>
      </c>
      <c r="K3025" s="25">
        <f t="shared" ref="K3025:K3031" si="579">+G3025-H3025-I3025-J3025</f>
        <v>10081717.630000001</v>
      </c>
      <c r="L3025" s="95">
        <f t="shared" ref="L3025:L3031" si="580">+L3024-G3025</f>
        <v>187000000</v>
      </c>
      <c r="M3025" s="96"/>
      <c r="N3025" s="96"/>
      <c r="O3025" s="149">
        <f>+VLOOKUP(A3024,'[1]ANEXO 7 - PPTO VIG 2021'!$H$8:$AB$160,21,)-L3036</f>
        <v>0</v>
      </c>
      <c r="P3025" s="126">
        <v>878808582</v>
      </c>
      <c r="Q3025" s="127">
        <v>44197</v>
      </c>
      <c r="R3025" s="29">
        <v>538400</v>
      </c>
      <c r="S3025" s="29">
        <v>732300</v>
      </c>
      <c r="T3025" s="30"/>
      <c r="U3025" s="146"/>
      <c r="V3025" s="146"/>
    </row>
    <row r="3026" spans="1:24" s="31" customFormat="1" ht="15" hidden="1" x14ac:dyDescent="0.25">
      <c r="B3026" s="89">
        <v>44266.125</v>
      </c>
      <c r="C3026" s="92" t="s">
        <v>2858</v>
      </c>
      <c r="D3026" s="23"/>
      <c r="E3026" s="91">
        <v>17000000</v>
      </c>
      <c r="F3026" s="93"/>
      <c r="G3026" s="93">
        <f t="shared" si="578"/>
        <v>17000000</v>
      </c>
      <c r="H3026" s="94">
        <v>407142.9</v>
      </c>
      <c r="I3026" s="94">
        <v>1225244.18</v>
      </c>
      <c r="J3026" s="94">
        <v>122268</v>
      </c>
      <c r="K3026" s="25">
        <f t="shared" si="579"/>
        <v>15245344.92</v>
      </c>
      <c r="L3026" s="95">
        <f t="shared" si="580"/>
        <v>170000000</v>
      </c>
      <c r="M3026" s="96"/>
      <c r="N3026" s="96"/>
      <c r="O3026" s="130"/>
      <c r="P3026" s="126"/>
      <c r="Q3026" s="127"/>
      <c r="R3026" s="29"/>
      <c r="S3026" s="29"/>
      <c r="T3026" s="30"/>
      <c r="U3026" s="146"/>
      <c r="V3026" s="146"/>
    </row>
    <row r="3027" spans="1:24" s="31" customFormat="1" ht="15" hidden="1" x14ac:dyDescent="0.25">
      <c r="B3027" s="89">
        <v>44293.083333333336</v>
      </c>
      <c r="C3027" s="92" t="s">
        <v>2859</v>
      </c>
      <c r="D3027" s="23"/>
      <c r="E3027" s="91">
        <v>17000000</v>
      </c>
      <c r="F3027" s="93"/>
      <c r="G3027" s="93">
        <f t="shared" si="578"/>
        <v>17000000</v>
      </c>
      <c r="H3027" s="91">
        <v>407142.9</v>
      </c>
      <c r="I3027" s="91">
        <v>1225244.18</v>
      </c>
      <c r="J3027" s="91">
        <v>122268</v>
      </c>
      <c r="K3027" s="25">
        <f t="shared" si="579"/>
        <v>15245344.92</v>
      </c>
      <c r="L3027" s="95">
        <f t="shared" si="580"/>
        <v>153000000</v>
      </c>
      <c r="M3027" s="96"/>
      <c r="N3027" s="96"/>
      <c r="O3027" s="130"/>
      <c r="P3027" s="126">
        <v>49431013</v>
      </c>
      <c r="Q3027" s="127">
        <v>44256</v>
      </c>
      <c r="R3027" s="29">
        <v>850000</v>
      </c>
      <c r="S3027" s="29">
        <v>1156000</v>
      </c>
      <c r="T3027" s="30"/>
      <c r="U3027" s="146"/>
      <c r="V3027" s="146"/>
    </row>
    <row r="3028" spans="1:24" s="31" customFormat="1" ht="15" hidden="1" x14ac:dyDescent="0.25">
      <c r="B3028" s="89">
        <v>44321.083333333336</v>
      </c>
      <c r="C3028" s="92" t="s">
        <v>2860</v>
      </c>
      <c r="D3028" s="23"/>
      <c r="E3028" s="91">
        <v>17000000</v>
      </c>
      <c r="F3028" s="93"/>
      <c r="G3028" s="93">
        <f t="shared" si="578"/>
        <v>17000000</v>
      </c>
      <c r="H3028" s="94">
        <v>407142.9</v>
      </c>
      <c r="I3028" s="94">
        <v>1225244.18</v>
      </c>
      <c r="J3028" s="94">
        <v>122268</v>
      </c>
      <c r="K3028" s="25">
        <f t="shared" si="579"/>
        <v>15245344.92</v>
      </c>
      <c r="L3028" s="95">
        <f t="shared" si="580"/>
        <v>136000000</v>
      </c>
      <c r="M3028" s="20">
        <v>17000000</v>
      </c>
      <c r="N3028" s="20">
        <f>+G3028-M3028</f>
        <v>0</v>
      </c>
      <c r="O3028" s="130"/>
      <c r="P3028" s="126">
        <v>50163358</v>
      </c>
      <c r="Q3028" s="127">
        <v>44287</v>
      </c>
      <c r="R3028" s="29">
        <v>850000</v>
      </c>
      <c r="S3028" s="29">
        <v>1156000</v>
      </c>
      <c r="T3028" s="30"/>
      <c r="U3028" s="146"/>
      <c r="V3028" s="146"/>
    </row>
    <row r="3029" spans="1:24" s="31" customFormat="1" ht="15" hidden="1" x14ac:dyDescent="0.25">
      <c r="B3029" s="89">
        <v>44349.083333333336</v>
      </c>
      <c r="C3029" s="92" t="s">
        <v>2861</v>
      </c>
      <c r="D3029" s="23"/>
      <c r="E3029" s="91">
        <v>17000000</v>
      </c>
      <c r="F3029" s="93"/>
      <c r="G3029" s="93">
        <f t="shared" si="578"/>
        <v>17000000</v>
      </c>
      <c r="H3029" s="94">
        <v>407142.9</v>
      </c>
      <c r="I3029" s="94">
        <v>1225244.18</v>
      </c>
      <c r="J3029" s="94">
        <v>122268</v>
      </c>
      <c r="K3029" s="25">
        <f t="shared" si="579"/>
        <v>15245344.92</v>
      </c>
      <c r="L3029" s="95">
        <f t="shared" si="580"/>
        <v>119000000</v>
      </c>
      <c r="M3029" s="20"/>
      <c r="N3029" s="20"/>
      <c r="O3029" s="130"/>
      <c r="P3029" s="126">
        <v>999667394</v>
      </c>
      <c r="Q3029" s="127">
        <v>44317</v>
      </c>
      <c r="R3029" s="29">
        <v>850000</v>
      </c>
      <c r="S3029" s="29">
        <v>1156000</v>
      </c>
      <c r="T3029" s="30"/>
      <c r="U3029" s="146"/>
      <c r="V3029" s="146"/>
    </row>
    <row r="3030" spans="1:24" s="31" customFormat="1" ht="15" hidden="1" x14ac:dyDescent="0.25">
      <c r="B3030" s="89">
        <v>44385.083333333336</v>
      </c>
      <c r="C3030" s="92" t="s">
        <v>2862</v>
      </c>
      <c r="D3030" s="23"/>
      <c r="E3030" s="91">
        <v>17000000</v>
      </c>
      <c r="F3030" s="93"/>
      <c r="G3030" s="93">
        <f t="shared" si="578"/>
        <v>17000000</v>
      </c>
      <c r="H3030" s="94">
        <v>407142.9</v>
      </c>
      <c r="I3030" s="94">
        <v>1225244.18</v>
      </c>
      <c r="J3030" s="94">
        <v>122268</v>
      </c>
      <c r="K3030" s="25">
        <f t="shared" si="579"/>
        <v>15245344.92</v>
      </c>
      <c r="L3030" s="95">
        <f t="shared" si="580"/>
        <v>102000000</v>
      </c>
      <c r="M3030" s="20"/>
      <c r="N3030" s="20"/>
      <c r="O3030" s="130"/>
      <c r="P3030" s="126">
        <v>51542771</v>
      </c>
      <c r="Q3030" s="127">
        <v>44348</v>
      </c>
      <c r="R3030" s="29">
        <v>850000</v>
      </c>
      <c r="S3030" s="29">
        <v>1156000</v>
      </c>
      <c r="T3030" s="30"/>
      <c r="U3030" s="146"/>
      <c r="V3030" s="146"/>
    </row>
    <row r="3031" spans="1:24" s="31" customFormat="1" ht="15" hidden="1" x14ac:dyDescent="0.25">
      <c r="B3031" s="89">
        <v>44411.083333333336</v>
      </c>
      <c r="C3031" s="92" t="s">
        <v>2863</v>
      </c>
      <c r="D3031" s="23"/>
      <c r="E3031" s="91">
        <v>17000000</v>
      </c>
      <c r="F3031" s="93"/>
      <c r="G3031" s="93">
        <f t="shared" si="578"/>
        <v>17000000</v>
      </c>
      <c r="H3031" s="94">
        <v>407142.9</v>
      </c>
      <c r="I3031" s="94">
        <v>1225244.18</v>
      </c>
      <c r="J3031" s="94">
        <v>122268</v>
      </c>
      <c r="K3031" s="25">
        <f t="shared" si="579"/>
        <v>15245344.92</v>
      </c>
      <c r="L3031" s="95">
        <f t="shared" si="580"/>
        <v>85000000</v>
      </c>
      <c r="M3031" s="20"/>
      <c r="N3031" s="20"/>
      <c r="O3031" s="130"/>
      <c r="Q3031" s="160"/>
      <c r="R3031" s="29">
        <v>850000</v>
      </c>
      <c r="S3031" s="29">
        <v>1156000</v>
      </c>
      <c r="T3031" s="30"/>
      <c r="U3031" s="146"/>
      <c r="V3031" s="146"/>
      <c r="W3031" s="31">
        <v>17000000</v>
      </c>
      <c r="X3031" s="131">
        <f>+E3031-W3031</f>
        <v>0</v>
      </c>
    </row>
    <row r="3032" spans="1:24" s="31" customFormat="1" ht="15" hidden="1" x14ac:dyDescent="0.25">
      <c r="B3032" s="89">
        <v>44441.083333333336</v>
      </c>
      <c r="C3032" s="92" t="s">
        <v>2864</v>
      </c>
      <c r="D3032" s="23"/>
      <c r="E3032" s="91">
        <v>17000000</v>
      </c>
      <c r="F3032" s="93"/>
      <c r="G3032" s="93">
        <f t="shared" si="578"/>
        <v>17000000</v>
      </c>
      <c r="H3032" s="94">
        <v>407142.9</v>
      </c>
      <c r="I3032" s="94">
        <v>1225244.18</v>
      </c>
      <c r="J3032" s="94">
        <v>122268</v>
      </c>
      <c r="K3032" s="25">
        <f>+G3032-H3032-I3032-J3032</f>
        <v>15245344.92</v>
      </c>
      <c r="L3032" s="95">
        <f>+L3031-G3032</f>
        <v>68000000</v>
      </c>
      <c r="M3032" s="20"/>
      <c r="N3032" s="20"/>
      <c r="O3032" s="130"/>
      <c r="P3032" s="31">
        <v>52848559</v>
      </c>
      <c r="Q3032" s="127">
        <v>44409</v>
      </c>
      <c r="R3032" s="29">
        <v>850000</v>
      </c>
      <c r="S3032" s="29">
        <v>1156000</v>
      </c>
      <c r="T3032" s="30"/>
      <c r="U3032" s="146"/>
      <c r="V3032" s="146"/>
      <c r="X3032" s="131"/>
    </row>
    <row r="3033" spans="1:24" s="31" customFormat="1" ht="15" hidden="1" x14ac:dyDescent="0.25">
      <c r="B3033" s="89">
        <v>44482.083333333336</v>
      </c>
      <c r="C3033" s="92" t="s">
        <v>2865</v>
      </c>
      <c r="D3033" s="23"/>
      <c r="E3033" s="91">
        <v>17000000</v>
      </c>
      <c r="F3033" s="93"/>
      <c r="G3033" s="93">
        <f t="shared" si="578"/>
        <v>17000000</v>
      </c>
      <c r="H3033" s="94">
        <v>407142.9</v>
      </c>
      <c r="I3033" s="94">
        <v>1225244.18</v>
      </c>
      <c r="J3033" s="94">
        <v>122268</v>
      </c>
      <c r="K3033" s="25">
        <f>+G3033-H3033-I3033-J3033</f>
        <v>15245344.92</v>
      </c>
      <c r="L3033" s="95">
        <f>+L3032-G3033</f>
        <v>51000000</v>
      </c>
      <c r="M3033" s="20"/>
      <c r="N3033" s="20"/>
      <c r="O3033" s="130"/>
      <c r="P3033" s="31">
        <v>53622487</v>
      </c>
      <c r="Q3033" s="127">
        <v>44440</v>
      </c>
      <c r="R3033" s="29">
        <v>850000</v>
      </c>
      <c r="S3033" s="29">
        <v>1156000</v>
      </c>
      <c r="T3033" s="30"/>
      <c r="U3033" s="146"/>
      <c r="V3033" s="146"/>
      <c r="X3033" s="131"/>
    </row>
    <row r="3034" spans="1:24" s="31" customFormat="1" ht="15" hidden="1" x14ac:dyDescent="0.25">
      <c r="B3034" s="89">
        <v>44505.083333333336</v>
      </c>
      <c r="C3034" s="92" t="s">
        <v>2866</v>
      </c>
      <c r="D3034" s="23"/>
      <c r="E3034" s="91">
        <v>17000000</v>
      </c>
      <c r="F3034" s="93"/>
      <c r="G3034" s="93">
        <f t="shared" si="578"/>
        <v>17000000</v>
      </c>
      <c r="H3034" s="94">
        <v>407142.9</v>
      </c>
      <c r="I3034" s="94">
        <v>1225244.18</v>
      </c>
      <c r="J3034" s="94">
        <v>122268</v>
      </c>
      <c r="K3034" s="25">
        <f>+G3034-H3034-I3034-J3034</f>
        <v>15245344.92</v>
      </c>
      <c r="L3034" s="95">
        <f>+L3033-G3034</f>
        <v>34000000</v>
      </c>
      <c r="M3034" s="20"/>
      <c r="N3034" s="20"/>
      <c r="O3034" s="130"/>
      <c r="P3034" s="31">
        <v>54205195</v>
      </c>
      <c r="Q3034" s="127">
        <v>44470</v>
      </c>
      <c r="R3034" s="29">
        <v>850000</v>
      </c>
      <c r="S3034" s="29">
        <v>1156000</v>
      </c>
      <c r="T3034" s="30"/>
      <c r="U3034" s="146"/>
      <c r="V3034" s="146"/>
      <c r="X3034" s="131"/>
    </row>
    <row r="3035" spans="1:24" s="31" customFormat="1" ht="15" hidden="1" x14ac:dyDescent="0.25">
      <c r="B3035" s="89">
        <v>44536.125</v>
      </c>
      <c r="C3035" s="92" t="s">
        <v>2867</v>
      </c>
      <c r="D3035" s="23"/>
      <c r="E3035" s="91">
        <v>17000000</v>
      </c>
      <c r="F3035" s="93"/>
      <c r="G3035" s="93">
        <f t="shared" si="578"/>
        <v>17000000</v>
      </c>
      <c r="H3035" s="94">
        <v>407142.9</v>
      </c>
      <c r="I3035" s="94">
        <v>1225244.18</v>
      </c>
      <c r="J3035" s="94">
        <v>122268</v>
      </c>
      <c r="K3035" s="25">
        <f>+G3035-H3035-I3035-J3035</f>
        <v>15245344.92</v>
      </c>
      <c r="L3035" s="95">
        <f>+L3034-G3035</f>
        <v>17000000</v>
      </c>
      <c r="M3035" s="20"/>
      <c r="N3035" s="20"/>
      <c r="O3035" s="130"/>
      <c r="P3035" s="31">
        <v>54953412</v>
      </c>
      <c r="Q3035" s="127">
        <v>44501</v>
      </c>
      <c r="R3035" s="29">
        <v>850000</v>
      </c>
      <c r="S3035" s="29">
        <v>1156000</v>
      </c>
      <c r="T3035" s="30"/>
      <c r="U3035" s="146"/>
      <c r="V3035" s="146"/>
      <c r="X3035" s="131"/>
    </row>
    <row r="3036" spans="1:24" s="31" customFormat="1" ht="15" hidden="1" x14ac:dyDescent="0.25">
      <c r="B3036" s="89">
        <v>44560.125</v>
      </c>
      <c r="C3036" s="92" t="s">
        <v>2868</v>
      </c>
      <c r="D3036" s="23"/>
      <c r="E3036" s="91">
        <v>17000000</v>
      </c>
      <c r="F3036" s="93"/>
      <c r="G3036" s="93">
        <f t="shared" si="578"/>
        <v>17000000</v>
      </c>
      <c r="H3036" s="94">
        <v>407142.9</v>
      </c>
      <c r="I3036" s="94">
        <v>1225244.18</v>
      </c>
      <c r="J3036" s="94">
        <v>122268</v>
      </c>
      <c r="K3036" s="25">
        <f>+G3036-H3036-I3036-J3036</f>
        <v>15245344.92</v>
      </c>
      <c r="L3036" s="95">
        <f>+L3035-G3036</f>
        <v>0</v>
      </c>
      <c r="M3036" s="20"/>
      <c r="N3036" s="20"/>
      <c r="O3036" s="130"/>
      <c r="Q3036" s="127"/>
      <c r="R3036" s="29"/>
      <c r="S3036" s="29"/>
      <c r="T3036" s="30"/>
      <c r="U3036" s="146"/>
      <c r="V3036" s="146"/>
      <c r="X3036" s="131"/>
    </row>
    <row r="3037" spans="1:24" ht="18" hidden="1" customHeight="1" x14ac:dyDescent="0.25">
      <c r="A3037" s="21">
        <v>312021</v>
      </c>
      <c r="B3037" s="139" t="s">
        <v>2869</v>
      </c>
      <c r="C3037" s="140"/>
      <c r="D3037" s="141">
        <v>82674667</v>
      </c>
      <c r="E3037" s="141">
        <f>+D3037</f>
        <v>82674667</v>
      </c>
      <c r="F3037" s="141"/>
      <c r="G3037" s="141"/>
      <c r="H3037" s="141"/>
      <c r="I3037" s="141"/>
      <c r="J3037" s="141"/>
      <c r="K3037" s="141"/>
      <c r="L3037" s="141">
        <f>+D3037</f>
        <v>82674667</v>
      </c>
      <c r="M3037" s="142"/>
      <c r="N3037" s="142"/>
      <c r="P3037" s="126"/>
      <c r="Q3037" s="126"/>
      <c r="R3037" s="29"/>
      <c r="S3037" s="29"/>
    </row>
    <row r="3038" spans="1:24" s="31" customFormat="1" ht="15" hidden="1" x14ac:dyDescent="0.25">
      <c r="B3038" s="89">
        <v>44238.125</v>
      </c>
      <c r="C3038" s="92" t="s">
        <v>2870</v>
      </c>
      <c r="D3038" s="23"/>
      <c r="E3038" s="91">
        <v>3364667</v>
      </c>
      <c r="F3038" s="93"/>
      <c r="G3038" s="93">
        <f t="shared" ref="G3038:G3050" si="581">+E3038</f>
        <v>3364667</v>
      </c>
      <c r="H3038" s="94"/>
      <c r="I3038" s="94"/>
      <c r="J3038" s="94">
        <v>28797.38</v>
      </c>
      <c r="K3038" s="25">
        <f t="shared" ref="K3038:K3054" si="582">+G3038-H3038-I3038-J3038</f>
        <v>3335869.62</v>
      </c>
      <c r="L3038" s="95">
        <f t="shared" ref="L3038:L3054" si="583">+L3037-G3038</f>
        <v>79310000</v>
      </c>
      <c r="M3038" s="96"/>
      <c r="N3038" s="96"/>
      <c r="O3038" s="149">
        <f>+VLOOKUP(A3037,'[1]ANEXO 7 - PPTO VIG 2021'!$H$8:$AB$160,21,)-L3054</f>
        <v>0</v>
      </c>
      <c r="P3038" s="156">
        <v>47357073</v>
      </c>
      <c r="Q3038" s="157">
        <v>44166</v>
      </c>
      <c r="R3038" s="158">
        <v>350000</v>
      </c>
      <c r="S3038" s="158">
        <v>448000</v>
      </c>
      <c r="T3038" s="30">
        <f>+L3037</f>
        <v>82674667</v>
      </c>
      <c r="U3038" s="146">
        <f>+T3038*40%</f>
        <v>33069866.800000001</v>
      </c>
      <c r="V3038" s="146"/>
    </row>
    <row r="3039" spans="1:24" s="31" customFormat="1" ht="15" hidden="1" x14ac:dyDescent="0.25">
      <c r="B3039" s="89">
        <v>44258.125</v>
      </c>
      <c r="C3039" s="92" t="s">
        <v>2871</v>
      </c>
      <c r="D3039" s="23"/>
      <c r="E3039" s="91">
        <v>7210000</v>
      </c>
      <c r="F3039" s="93"/>
      <c r="G3039" s="93">
        <f t="shared" si="581"/>
        <v>7210000</v>
      </c>
      <c r="H3039" s="94"/>
      <c r="I3039" s="94">
        <v>252701.9</v>
      </c>
      <c r="J3039" s="94">
        <v>61708.66</v>
      </c>
      <c r="K3039" s="25">
        <f t="shared" si="582"/>
        <v>6895589.4399999995</v>
      </c>
      <c r="L3039" s="95">
        <f t="shared" si="583"/>
        <v>72100000</v>
      </c>
      <c r="M3039" s="96"/>
      <c r="N3039" s="96"/>
      <c r="O3039" s="130"/>
      <c r="P3039" s="156">
        <v>48634046</v>
      </c>
      <c r="Q3039" s="157">
        <v>44197</v>
      </c>
      <c r="R3039" s="158">
        <v>375000</v>
      </c>
      <c r="S3039" s="158">
        <v>480000</v>
      </c>
      <c r="T3039" s="30"/>
      <c r="U3039" s="146"/>
      <c r="V3039" s="146"/>
    </row>
    <row r="3040" spans="1:24" s="31" customFormat="1" ht="15" hidden="1" x14ac:dyDescent="0.25">
      <c r="B3040" s="89">
        <v>44295.083333333336</v>
      </c>
      <c r="C3040" s="92" t="s">
        <v>2872</v>
      </c>
      <c r="D3040" s="23"/>
      <c r="E3040" s="91">
        <v>7210000</v>
      </c>
      <c r="F3040" s="93"/>
      <c r="G3040" s="93">
        <f t="shared" si="581"/>
        <v>7210000</v>
      </c>
      <c r="H3040" s="94"/>
      <c r="I3040" s="91">
        <v>252701.9</v>
      </c>
      <c r="J3040" s="91">
        <v>61708.66</v>
      </c>
      <c r="K3040" s="25">
        <f t="shared" si="582"/>
        <v>6895589.4399999995</v>
      </c>
      <c r="L3040" s="95">
        <f t="shared" si="583"/>
        <v>64890000</v>
      </c>
      <c r="M3040" s="96"/>
      <c r="N3040" s="96"/>
      <c r="O3040" s="130"/>
      <c r="P3040" s="156">
        <v>49288137</v>
      </c>
      <c r="Q3040" s="157">
        <v>44228</v>
      </c>
      <c r="R3040" s="158">
        <v>375000</v>
      </c>
      <c r="S3040" s="158">
        <v>480000</v>
      </c>
      <c r="T3040" s="30"/>
      <c r="U3040" s="146">
        <f>+U3038*12.5%</f>
        <v>4133733.35</v>
      </c>
      <c r="V3040" s="151" t="s">
        <v>2769</v>
      </c>
    </row>
    <row r="3041" spans="1:24" s="31" customFormat="1" ht="15" hidden="1" x14ac:dyDescent="0.25">
      <c r="B3041" s="89">
        <v>44321.083333333336</v>
      </c>
      <c r="C3041" s="92" t="s">
        <v>2873</v>
      </c>
      <c r="D3041" s="23"/>
      <c r="E3041" s="91">
        <v>7210000</v>
      </c>
      <c r="F3041" s="93"/>
      <c r="G3041" s="93">
        <f t="shared" si="581"/>
        <v>7210000</v>
      </c>
      <c r="H3041" s="94"/>
      <c r="I3041" s="94">
        <v>252701.9</v>
      </c>
      <c r="J3041" s="94">
        <v>61708.66</v>
      </c>
      <c r="K3041" s="25">
        <f t="shared" si="582"/>
        <v>6895589.4399999995</v>
      </c>
      <c r="L3041" s="95">
        <f t="shared" si="583"/>
        <v>57680000</v>
      </c>
      <c r="M3041" s="20">
        <v>7210000</v>
      </c>
      <c r="N3041" s="20">
        <f>+G3041-M3041</f>
        <v>0</v>
      </c>
      <c r="O3041" s="130"/>
      <c r="P3041" s="126">
        <v>49770236</v>
      </c>
      <c r="Q3041" s="127">
        <v>44256</v>
      </c>
      <c r="R3041" s="29">
        <v>375000</v>
      </c>
      <c r="S3041" s="29">
        <v>480000</v>
      </c>
      <c r="T3041" s="30"/>
      <c r="U3041" s="146">
        <f>+U3038*16%</f>
        <v>5291178.6880000001</v>
      </c>
      <c r="V3041" s="150" t="s">
        <v>2771</v>
      </c>
    </row>
    <row r="3042" spans="1:24" s="31" customFormat="1" ht="15" hidden="1" x14ac:dyDescent="0.25">
      <c r="B3042" s="89">
        <v>44349.083333333336</v>
      </c>
      <c r="C3042" s="92" t="s">
        <v>2874</v>
      </c>
      <c r="D3042" s="23"/>
      <c r="E3042" s="91">
        <v>7210000</v>
      </c>
      <c r="F3042" s="93"/>
      <c r="G3042" s="93">
        <f t="shared" si="581"/>
        <v>7210000</v>
      </c>
      <c r="H3042" s="94"/>
      <c r="I3042" s="94">
        <v>252701.9</v>
      </c>
      <c r="J3042" s="94">
        <v>61708.66</v>
      </c>
      <c r="K3042" s="25">
        <f t="shared" si="582"/>
        <v>6895589.4399999995</v>
      </c>
      <c r="L3042" s="95">
        <f t="shared" si="583"/>
        <v>50470000</v>
      </c>
      <c r="M3042" s="20"/>
      <c r="N3042" s="20"/>
      <c r="O3042" s="130"/>
      <c r="P3042" s="126">
        <v>50404549</v>
      </c>
      <c r="Q3042" s="127">
        <v>44287</v>
      </c>
      <c r="R3042" s="29">
        <v>375000</v>
      </c>
      <c r="S3042" s="29">
        <v>480000</v>
      </c>
      <c r="T3042" s="30"/>
      <c r="U3042" s="146"/>
      <c r="V3042" s="146"/>
    </row>
    <row r="3043" spans="1:24" s="31" customFormat="1" ht="15" hidden="1" x14ac:dyDescent="0.25">
      <c r="B3043" s="89">
        <v>44386.083333333336</v>
      </c>
      <c r="C3043" s="92" t="s">
        <v>2875</v>
      </c>
      <c r="D3043" s="23"/>
      <c r="E3043" s="91">
        <v>7210000</v>
      </c>
      <c r="F3043" s="93"/>
      <c r="G3043" s="93">
        <f t="shared" si="581"/>
        <v>7210000</v>
      </c>
      <c r="H3043" s="94"/>
      <c r="I3043" s="94">
        <v>252701.9</v>
      </c>
      <c r="J3043" s="94">
        <v>61708.66</v>
      </c>
      <c r="K3043" s="25">
        <f t="shared" si="582"/>
        <v>6895589.4399999995</v>
      </c>
      <c r="L3043" s="95">
        <f t="shared" si="583"/>
        <v>43260000</v>
      </c>
      <c r="M3043" s="20"/>
      <c r="N3043" s="20"/>
      <c r="O3043" s="130"/>
      <c r="P3043" s="126">
        <v>51341830</v>
      </c>
      <c r="Q3043" s="127">
        <v>44317</v>
      </c>
      <c r="R3043" s="29">
        <v>375000</v>
      </c>
      <c r="S3043" s="29">
        <v>480000</v>
      </c>
      <c r="T3043" s="30"/>
      <c r="U3043" s="146"/>
      <c r="V3043" s="146"/>
    </row>
    <row r="3044" spans="1:24" s="31" customFormat="1" ht="15" hidden="1" x14ac:dyDescent="0.25">
      <c r="B3044" s="89">
        <v>44418.083333333336</v>
      </c>
      <c r="C3044" s="92" t="s">
        <v>2876</v>
      </c>
      <c r="D3044" s="23"/>
      <c r="E3044" s="91">
        <v>7210000</v>
      </c>
      <c r="F3044" s="93"/>
      <c r="G3044" s="93">
        <f t="shared" si="581"/>
        <v>7210000</v>
      </c>
      <c r="H3044" s="94"/>
      <c r="I3044" s="94">
        <v>252701.9</v>
      </c>
      <c r="J3044" s="94">
        <v>61708.66</v>
      </c>
      <c r="K3044" s="25">
        <f t="shared" si="582"/>
        <v>6895589.4399999995</v>
      </c>
      <c r="L3044" s="95">
        <f t="shared" si="583"/>
        <v>36050000</v>
      </c>
      <c r="M3044" s="20"/>
      <c r="N3044" s="20"/>
      <c r="O3044" s="130"/>
      <c r="P3044" s="126">
        <v>51718394</v>
      </c>
      <c r="Q3044" s="127">
        <v>44348</v>
      </c>
      <c r="R3044" s="29">
        <v>375000</v>
      </c>
      <c r="S3044" s="29">
        <v>480000</v>
      </c>
      <c r="T3044" s="30"/>
      <c r="U3044" s="146"/>
      <c r="V3044" s="146"/>
      <c r="W3044" s="31">
        <v>7210000</v>
      </c>
      <c r="X3044" s="131">
        <f>+E3044-W3044</f>
        <v>0</v>
      </c>
    </row>
    <row r="3045" spans="1:24" s="31" customFormat="1" ht="15" hidden="1" x14ac:dyDescent="0.25">
      <c r="B3045" s="89">
        <v>44445.083333333336</v>
      </c>
      <c r="C3045" s="92" t="s">
        <v>2877</v>
      </c>
      <c r="D3045" s="23"/>
      <c r="E3045" s="91">
        <v>5949705.2000000002</v>
      </c>
      <c r="F3045" s="93"/>
      <c r="G3045" s="93">
        <f t="shared" si="581"/>
        <v>5949705.2000000002</v>
      </c>
      <c r="H3045" s="94"/>
      <c r="I3045" s="94">
        <v>252701.9</v>
      </c>
      <c r="J3045" s="94">
        <v>61708.66</v>
      </c>
      <c r="K3045" s="25">
        <f t="shared" si="582"/>
        <v>5635294.6399999997</v>
      </c>
      <c r="L3045" s="95">
        <f t="shared" si="583"/>
        <v>30100294.800000001</v>
      </c>
      <c r="M3045" s="20"/>
      <c r="N3045" s="20"/>
      <c r="O3045" s="130"/>
      <c r="P3045" s="126">
        <v>52413668</v>
      </c>
      <c r="Q3045" s="127">
        <v>44378</v>
      </c>
      <c r="R3045" s="29">
        <v>375000</v>
      </c>
      <c r="S3045" s="29">
        <v>480000</v>
      </c>
      <c r="T3045" s="30"/>
      <c r="U3045" s="146"/>
      <c r="V3045" s="146"/>
      <c r="X3045" s="131"/>
    </row>
    <row r="3046" spans="1:24" s="31" customFormat="1" ht="15" hidden="1" x14ac:dyDescent="0.25">
      <c r="B3046" s="89">
        <v>44445.083333333336</v>
      </c>
      <c r="C3046" s="92" t="s">
        <v>2877</v>
      </c>
      <c r="D3046" s="23"/>
      <c r="E3046" s="91">
        <v>1260294.8</v>
      </c>
      <c r="F3046" s="93"/>
      <c r="G3046" s="93">
        <f t="shared" si="581"/>
        <v>1260294.8</v>
      </c>
      <c r="H3046" s="94"/>
      <c r="I3046" s="94"/>
      <c r="J3046" s="94"/>
      <c r="K3046" s="25">
        <f t="shared" si="582"/>
        <v>1260294.8</v>
      </c>
      <c r="L3046" s="95">
        <f t="shared" si="583"/>
        <v>28840000</v>
      </c>
      <c r="M3046" s="20"/>
      <c r="N3046" s="20"/>
      <c r="O3046" s="130"/>
      <c r="P3046" s="126"/>
      <c r="Q3046" s="127"/>
      <c r="R3046" s="29"/>
      <c r="S3046" s="29"/>
      <c r="T3046" s="30"/>
      <c r="U3046" s="146"/>
      <c r="V3046" s="146"/>
      <c r="X3046" s="131"/>
    </row>
    <row r="3047" spans="1:24" s="31" customFormat="1" ht="15" hidden="1" x14ac:dyDescent="0.25">
      <c r="B3047" s="89">
        <v>44481.083333333336</v>
      </c>
      <c r="C3047" s="92" t="s">
        <v>2878</v>
      </c>
      <c r="D3047" s="23"/>
      <c r="E3047" s="91">
        <v>5949705.2000000002</v>
      </c>
      <c r="F3047" s="93"/>
      <c r="G3047" s="93">
        <f t="shared" si="581"/>
        <v>5949705.2000000002</v>
      </c>
      <c r="H3047" s="94"/>
      <c r="I3047" s="94">
        <v>252701.9</v>
      </c>
      <c r="J3047" s="94">
        <v>61708.66</v>
      </c>
      <c r="K3047" s="25">
        <f t="shared" si="582"/>
        <v>5635294.6399999997</v>
      </c>
      <c r="L3047" s="95">
        <f t="shared" si="583"/>
        <v>22890294.800000001</v>
      </c>
      <c r="M3047" s="20"/>
      <c r="N3047" s="20"/>
      <c r="O3047" s="130"/>
      <c r="P3047" s="126">
        <v>53080874</v>
      </c>
      <c r="Q3047" s="127">
        <v>44409</v>
      </c>
      <c r="R3047" s="29">
        <v>375000</v>
      </c>
      <c r="S3047" s="29">
        <v>480000</v>
      </c>
      <c r="T3047" s="30"/>
      <c r="U3047" s="146"/>
      <c r="V3047" s="146"/>
      <c r="X3047" s="131"/>
    </row>
    <row r="3048" spans="1:24" s="31" customFormat="1" ht="15" hidden="1" x14ac:dyDescent="0.25">
      <c r="B3048" s="89">
        <v>44481.083333333336</v>
      </c>
      <c r="C3048" s="92" t="s">
        <v>2878</v>
      </c>
      <c r="D3048" s="23"/>
      <c r="E3048" s="91">
        <v>1260294.8</v>
      </c>
      <c r="F3048" s="93"/>
      <c r="G3048" s="93">
        <f t="shared" si="581"/>
        <v>1260294.8</v>
      </c>
      <c r="H3048" s="94"/>
      <c r="I3048" s="94"/>
      <c r="J3048" s="94"/>
      <c r="K3048" s="25">
        <f t="shared" si="582"/>
        <v>1260294.8</v>
      </c>
      <c r="L3048" s="95">
        <f t="shared" si="583"/>
        <v>21630000</v>
      </c>
      <c r="M3048" s="20"/>
      <c r="N3048" s="20"/>
      <c r="O3048" s="130"/>
      <c r="P3048" s="126"/>
      <c r="Q3048" s="127"/>
      <c r="R3048" s="29"/>
      <c r="S3048" s="29"/>
      <c r="T3048" s="30"/>
      <c r="U3048" s="146"/>
      <c r="V3048" s="146"/>
      <c r="X3048" s="131"/>
    </row>
    <row r="3049" spans="1:24" s="31" customFormat="1" ht="15" hidden="1" x14ac:dyDescent="0.25">
      <c r="B3049" s="89">
        <v>44512.125</v>
      </c>
      <c r="C3049" s="92" t="s">
        <v>2879</v>
      </c>
      <c r="D3049" s="23"/>
      <c r="E3049" s="91">
        <v>5949705.2000000002</v>
      </c>
      <c r="F3049" s="93"/>
      <c r="G3049" s="93">
        <f t="shared" si="581"/>
        <v>5949705.2000000002</v>
      </c>
      <c r="H3049" s="94"/>
      <c r="I3049" s="94">
        <v>252701.9</v>
      </c>
      <c r="J3049" s="94">
        <v>61708.66</v>
      </c>
      <c r="K3049" s="25">
        <f t="shared" si="582"/>
        <v>5635294.6399999997</v>
      </c>
      <c r="L3049" s="95">
        <f t="shared" si="583"/>
        <v>15680294.800000001</v>
      </c>
      <c r="M3049" s="20"/>
      <c r="N3049" s="20"/>
      <c r="O3049" s="130"/>
      <c r="P3049" s="126">
        <v>53779205</v>
      </c>
      <c r="Q3049" s="127">
        <v>44440</v>
      </c>
      <c r="R3049" s="29">
        <v>375000</v>
      </c>
      <c r="S3049" s="29">
        <v>480000</v>
      </c>
      <c r="T3049" s="30"/>
      <c r="U3049" s="146"/>
      <c r="V3049" s="146"/>
      <c r="X3049" s="131"/>
    </row>
    <row r="3050" spans="1:24" s="31" customFormat="1" ht="15" hidden="1" x14ac:dyDescent="0.25">
      <c r="B3050" s="89">
        <v>44512.125</v>
      </c>
      <c r="C3050" s="92" t="s">
        <v>2879</v>
      </c>
      <c r="D3050" s="23"/>
      <c r="E3050" s="91">
        <v>1260294.8</v>
      </c>
      <c r="F3050" s="93"/>
      <c r="G3050" s="93">
        <f t="shared" si="581"/>
        <v>1260294.8</v>
      </c>
      <c r="H3050" s="94"/>
      <c r="I3050" s="94"/>
      <c r="J3050" s="94"/>
      <c r="K3050" s="25">
        <f t="shared" si="582"/>
        <v>1260294.8</v>
      </c>
      <c r="L3050" s="95">
        <f t="shared" si="583"/>
        <v>14420000</v>
      </c>
      <c r="M3050" s="20"/>
      <c r="N3050" s="20"/>
      <c r="O3050" s="130"/>
      <c r="P3050" s="126"/>
      <c r="Q3050" s="127"/>
      <c r="R3050" s="29"/>
      <c r="S3050" s="29"/>
      <c r="T3050" s="30"/>
      <c r="U3050" s="146"/>
      <c r="V3050" s="146"/>
      <c r="X3050" s="131"/>
    </row>
    <row r="3051" spans="1:24" s="31" customFormat="1" ht="15" hidden="1" x14ac:dyDescent="0.25">
      <c r="B3051" s="89">
        <v>44540.125</v>
      </c>
      <c r="C3051" s="92" t="s">
        <v>2880</v>
      </c>
      <c r="D3051" s="23"/>
      <c r="E3051" s="91">
        <v>5949705.2000000002</v>
      </c>
      <c r="F3051" s="93"/>
      <c r="G3051" s="93">
        <f>+E3051</f>
        <v>5949705.2000000002</v>
      </c>
      <c r="H3051" s="94"/>
      <c r="I3051" s="94">
        <v>247110.21</v>
      </c>
      <c r="J3051" s="94">
        <v>61708.66</v>
      </c>
      <c r="K3051" s="25">
        <f t="shared" si="582"/>
        <v>5640886.3300000001</v>
      </c>
      <c r="L3051" s="95">
        <f t="shared" si="583"/>
        <v>8470294.8000000007</v>
      </c>
      <c r="M3051" s="20"/>
      <c r="N3051" s="20"/>
      <c r="O3051" s="130"/>
      <c r="P3051" s="126">
        <v>54747423</v>
      </c>
      <c r="Q3051" s="127">
        <v>44470</v>
      </c>
      <c r="R3051" s="29">
        <v>625000</v>
      </c>
      <c r="S3051" s="29">
        <v>850000</v>
      </c>
      <c r="T3051" s="30"/>
      <c r="U3051" s="146"/>
      <c r="V3051" s="146"/>
      <c r="X3051" s="131"/>
    </row>
    <row r="3052" spans="1:24" s="31" customFormat="1" ht="15" hidden="1" x14ac:dyDescent="0.25">
      <c r="B3052" s="89">
        <v>44540.125</v>
      </c>
      <c r="C3052" s="92" t="s">
        <v>2880</v>
      </c>
      <c r="D3052" s="23"/>
      <c r="E3052" s="91">
        <v>1260294.8</v>
      </c>
      <c r="F3052" s="93"/>
      <c r="G3052" s="93">
        <f>+E3052</f>
        <v>1260294.8</v>
      </c>
      <c r="H3052" s="94"/>
      <c r="I3052" s="94"/>
      <c r="J3052" s="94"/>
      <c r="K3052" s="25">
        <f t="shared" si="582"/>
        <v>1260294.8</v>
      </c>
      <c r="L3052" s="95">
        <f t="shared" si="583"/>
        <v>7210000.0000000009</v>
      </c>
      <c r="M3052" s="20"/>
      <c r="N3052" s="20"/>
      <c r="O3052" s="130"/>
      <c r="P3052" s="126">
        <v>55377360</v>
      </c>
      <c r="Q3052" s="127">
        <v>44501</v>
      </c>
      <c r="R3052" s="29">
        <v>625000</v>
      </c>
      <c r="S3052" s="29">
        <v>850000</v>
      </c>
      <c r="T3052" s="30"/>
      <c r="U3052" s="146"/>
      <c r="V3052" s="146"/>
      <c r="X3052" s="131"/>
    </row>
    <row r="3053" spans="1:24" s="31" customFormat="1" ht="15" hidden="1" x14ac:dyDescent="0.25">
      <c r="B3053" s="89">
        <v>44554.125</v>
      </c>
      <c r="C3053" s="92" t="s">
        <v>2881</v>
      </c>
      <c r="D3053" s="23"/>
      <c r="E3053" s="91">
        <v>5949705.2000000002</v>
      </c>
      <c r="F3053" s="93"/>
      <c r="G3053" s="93">
        <f>+E3053</f>
        <v>5949705.2000000002</v>
      </c>
      <c r="H3053" s="94"/>
      <c r="I3053" s="94">
        <v>247110.21</v>
      </c>
      <c r="J3053" s="94">
        <v>61708.66</v>
      </c>
      <c r="K3053" s="25">
        <f t="shared" si="582"/>
        <v>5640886.3300000001</v>
      </c>
      <c r="L3053" s="95">
        <f t="shared" si="583"/>
        <v>1260294.8000000007</v>
      </c>
      <c r="M3053" s="20"/>
      <c r="N3053" s="20"/>
      <c r="O3053" s="130"/>
      <c r="P3053" s="126"/>
      <c r="Q3053" s="127"/>
      <c r="R3053" s="161">
        <f>SUM(R3038:R3052)</f>
        <v>4975000</v>
      </c>
      <c r="S3053" s="162">
        <f>SUM(S3038:S3052)</f>
        <v>6468000</v>
      </c>
      <c r="T3053" s="30"/>
      <c r="U3053" s="146"/>
      <c r="V3053" s="146"/>
      <c r="X3053" s="131"/>
    </row>
    <row r="3054" spans="1:24" s="31" customFormat="1" ht="15" hidden="1" x14ac:dyDescent="0.25">
      <c r="B3054" s="89">
        <v>44554.125</v>
      </c>
      <c r="C3054" s="92" t="s">
        <v>2881</v>
      </c>
      <c r="D3054" s="23"/>
      <c r="E3054" s="91">
        <v>1260294.8</v>
      </c>
      <c r="F3054" s="93"/>
      <c r="G3054" s="93">
        <f>+E3054</f>
        <v>1260294.8</v>
      </c>
      <c r="H3054" s="94"/>
      <c r="I3054" s="94"/>
      <c r="J3054" s="94"/>
      <c r="K3054" s="25">
        <f t="shared" si="582"/>
        <v>1260294.8</v>
      </c>
      <c r="L3054" s="95">
        <f t="shared" si="583"/>
        <v>0</v>
      </c>
      <c r="M3054" s="20"/>
      <c r="N3054" s="20"/>
      <c r="O3054" s="130"/>
      <c r="P3054" s="126"/>
      <c r="Q3054" s="127"/>
      <c r="R3054" s="158"/>
      <c r="S3054" s="158"/>
      <c r="T3054" s="30"/>
      <c r="U3054" s="146"/>
      <c r="V3054" s="146"/>
      <c r="X3054" s="131"/>
    </row>
    <row r="3055" spans="1:24" s="31" customFormat="1" ht="15" hidden="1" x14ac:dyDescent="0.25">
      <c r="B3055" s="89"/>
      <c r="C3055" s="92"/>
      <c r="D3055" s="23"/>
      <c r="E3055" s="91"/>
      <c r="F3055" s="93"/>
      <c r="G3055" s="93"/>
      <c r="H3055" s="94"/>
      <c r="I3055" s="94"/>
      <c r="J3055" s="94"/>
      <c r="K3055" s="25"/>
      <c r="L3055" s="95"/>
      <c r="M3055" s="20"/>
      <c r="N3055" s="20"/>
      <c r="O3055" s="130"/>
      <c r="P3055" s="126"/>
      <c r="Q3055" s="127"/>
      <c r="R3055" s="158"/>
      <c r="S3055" s="158"/>
      <c r="T3055" s="30"/>
      <c r="U3055" s="146"/>
      <c r="V3055" s="146"/>
      <c r="X3055" s="131"/>
    </row>
    <row r="3056" spans="1:24" ht="21" hidden="1" customHeight="1" x14ac:dyDescent="0.25">
      <c r="A3056" s="21">
        <v>352021</v>
      </c>
      <c r="B3056" s="139" t="s">
        <v>2882</v>
      </c>
      <c r="C3056" s="140"/>
      <c r="D3056" s="141">
        <v>27711120</v>
      </c>
      <c r="E3056" s="141">
        <f>+D3056</f>
        <v>27711120</v>
      </c>
      <c r="F3056" s="141"/>
      <c r="G3056" s="141"/>
      <c r="H3056" s="141"/>
      <c r="I3056" s="141"/>
      <c r="J3056" s="141"/>
      <c r="K3056" s="141"/>
      <c r="L3056" s="141">
        <f>+D3056</f>
        <v>27711120</v>
      </c>
      <c r="M3056" s="142"/>
      <c r="N3056" s="142"/>
      <c r="P3056" s="126"/>
      <c r="Q3056" s="126"/>
      <c r="R3056" s="29"/>
      <c r="S3056" s="29"/>
    </row>
    <row r="3057" spans="1:24" s="31" customFormat="1" ht="15" hidden="1" x14ac:dyDescent="0.25">
      <c r="B3057" s="89">
        <v>44231.125</v>
      </c>
      <c r="C3057" s="92" t="s">
        <v>2883</v>
      </c>
      <c r="D3057" s="23"/>
      <c r="E3057" s="91">
        <v>939360</v>
      </c>
      <c r="F3057" s="93"/>
      <c r="G3057" s="93">
        <f t="shared" ref="G3057:G3068" si="584">+E3057</f>
        <v>939360</v>
      </c>
      <c r="H3057" s="94"/>
      <c r="I3057" s="94"/>
      <c r="J3057" s="91">
        <v>8124.64</v>
      </c>
      <c r="K3057" s="25">
        <f>+G3057-H3057-I3057-J3057</f>
        <v>931235.36</v>
      </c>
      <c r="L3057" s="95">
        <f t="shared" ref="L3057:L3063" si="585">+L3056-G3057</f>
        <v>26771760</v>
      </c>
      <c r="M3057" s="96"/>
      <c r="N3057" s="96"/>
      <c r="O3057" s="149">
        <f>+VLOOKUP(A3056,'[1]ANEXO 7 - PPTO VIG 2021'!$H$8:$AB$160,21,)-L3068</f>
        <v>-939360</v>
      </c>
      <c r="P3057" s="156">
        <v>1035260621</v>
      </c>
      <c r="Q3057" s="157">
        <v>44197</v>
      </c>
      <c r="R3057" s="158">
        <v>43100</v>
      </c>
      <c r="S3057" s="158">
        <v>55200</v>
      </c>
      <c r="T3057" s="30">
        <f>+L3056-939360</f>
        <v>26771760</v>
      </c>
      <c r="U3057" s="146">
        <f>+T3057*40%</f>
        <v>10708704</v>
      </c>
      <c r="V3057" s="163">
        <v>0.4</v>
      </c>
    </row>
    <row r="3058" spans="1:24" s="31" customFormat="1" ht="15" hidden="1" x14ac:dyDescent="0.25">
      <c r="B3058" s="89">
        <v>44256.125</v>
      </c>
      <c r="C3058" s="92" t="s">
        <v>2884</v>
      </c>
      <c r="D3058" s="23"/>
      <c r="E3058" s="91">
        <v>2348400</v>
      </c>
      <c r="F3058" s="93"/>
      <c r="G3058" s="93">
        <f t="shared" si="584"/>
        <v>2348400</v>
      </c>
      <c r="H3058" s="94"/>
      <c r="I3058" s="94"/>
      <c r="J3058" s="91">
        <v>20099.39</v>
      </c>
      <c r="K3058" s="25">
        <f>+G3058-H3058-I3058-J3058</f>
        <v>2328300.61</v>
      </c>
      <c r="L3058" s="95">
        <f t="shared" si="585"/>
        <v>24423360</v>
      </c>
      <c r="M3058" s="96"/>
      <c r="N3058" s="96"/>
      <c r="O3058" s="130"/>
      <c r="P3058" s="156">
        <v>1035635111</v>
      </c>
      <c r="Q3058" s="157">
        <v>44228</v>
      </c>
      <c r="R3058" s="158">
        <v>117500</v>
      </c>
      <c r="S3058" s="158">
        <v>150400</v>
      </c>
      <c r="T3058" s="30"/>
      <c r="U3058" s="146"/>
      <c r="V3058" s="146"/>
    </row>
    <row r="3059" spans="1:24" s="31" customFormat="1" ht="15" hidden="1" x14ac:dyDescent="0.25">
      <c r="B3059" s="89">
        <v>44292.083333333336</v>
      </c>
      <c r="C3059" s="92" t="s">
        <v>2885</v>
      </c>
      <c r="D3059" s="23"/>
      <c r="E3059" s="91">
        <v>2348400</v>
      </c>
      <c r="F3059" s="93"/>
      <c r="G3059" s="93">
        <f t="shared" si="584"/>
        <v>2348400</v>
      </c>
      <c r="H3059" s="94"/>
      <c r="I3059" s="94"/>
      <c r="J3059" s="91">
        <v>20099.39</v>
      </c>
      <c r="K3059" s="25">
        <f>+G3059-H3059-I3059-J3059</f>
        <v>2328300.61</v>
      </c>
      <c r="L3059" s="95">
        <f t="shared" si="585"/>
        <v>22074960</v>
      </c>
      <c r="M3059" s="96"/>
      <c r="N3059" s="96"/>
      <c r="O3059" s="130"/>
      <c r="P3059" s="156">
        <v>1036661683</v>
      </c>
      <c r="Q3059" s="157">
        <v>44256</v>
      </c>
      <c r="R3059" s="158">
        <v>117500</v>
      </c>
      <c r="S3059" s="158">
        <v>150400</v>
      </c>
      <c r="T3059" s="30"/>
      <c r="U3059" s="146">
        <f>+U3057*12.5%</f>
        <v>1338588</v>
      </c>
      <c r="V3059" s="151" t="s">
        <v>2769</v>
      </c>
    </row>
    <row r="3060" spans="1:24" s="31" customFormat="1" ht="15" hidden="1" x14ac:dyDescent="0.25">
      <c r="B3060" s="89">
        <v>44320.083333333336</v>
      </c>
      <c r="C3060" s="92" t="s">
        <v>2886</v>
      </c>
      <c r="D3060" s="23"/>
      <c r="E3060" s="91">
        <v>2348400</v>
      </c>
      <c r="F3060" s="93"/>
      <c r="G3060" s="93">
        <f t="shared" si="584"/>
        <v>2348400</v>
      </c>
      <c r="H3060" s="94"/>
      <c r="I3060" s="94"/>
      <c r="J3060" s="91">
        <v>20099.39</v>
      </c>
      <c r="K3060" s="25">
        <f>+G3060-H3060-I3060-J3060</f>
        <v>2328300.61</v>
      </c>
      <c r="L3060" s="95">
        <f t="shared" si="585"/>
        <v>19726560</v>
      </c>
      <c r="M3060" s="20">
        <v>2348400</v>
      </c>
      <c r="N3060" s="20">
        <f>+G3060-M3060</f>
        <v>0</v>
      </c>
      <c r="O3060" s="130"/>
      <c r="P3060" s="156">
        <v>1036683628</v>
      </c>
      <c r="Q3060" s="157">
        <v>44287</v>
      </c>
      <c r="R3060" s="158">
        <v>117500</v>
      </c>
      <c r="S3060" s="158">
        <v>150400</v>
      </c>
      <c r="T3060" s="30"/>
      <c r="U3060" s="146">
        <f>+U3057*16%</f>
        <v>1713392.6400000001</v>
      </c>
      <c r="V3060" s="150" t="s">
        <v>2771</v>
      </c>
    </row>
    <row r="3061" spans="1:24" s="31" customFormat="1" ht="15" hidden="1" x14ac:dyDescent="0.25">
      <c r="B3061" s="89">
        <v>44349.083333333336</v>
      </c>
      <c r="C3061" s="92" t="s">
        <v>2887</v>
      </c>
      <c r="D3061" s="23"/>
      <c r="E3061" s="91">
        <v>2348400</v>
      </c>
      <c r="F3061" s="93"/>
      <c r="G3061" s="93">
        <f t="shared" si="584"/>
        <v>2348400</v>
      </c>
      <c r="H3061" s="94"/>
      <c r="I3061" s="94">
        <v>0</v>
      </c>
      <c r="J3061" s="91">
        <v>20099.39</v>
      </c>
      <c r="K3061" s="25">
        <f t="shared" ref="K3061:K3066" si="586">+G3061-H3061-I3061-J3061</f>
        <v>2328300.61</v>
      </c>
      <c r="L3061" s="95">
        <f t="shared" si="585"/>
        <v>17378160</v>
      </c>
      <c r="M3061" s="20"/>
      <c r="N3061" s="20"/>
      <c r="O3061" s="130"/>
      <c r="P3061" s="156">
        <v>1037264229</v>
      </c>
      <c r="Q3061" s="157">
        <v>44317</v>
      </c>
      <c r="R3061" s="158">
        <v>117500</v>
      </c>
      <c r="S3061" s="158">
        <v>150400</v>
      </c>
      <c r="T3061" s="30"/>
      <c r="U3061" s="146"/>
      <c r="V3061" s="146"/>
    </row>
    <row r="3062" spans="1:24" s="31" customFormat="1" ht="15" hidden="1" x14ac:dyDescent="0.25">
      <c r="B3062" s="89">
        <v>44385.083333333336</v>
      </c>
      <c r="C3062" s="92" t="s">
        <v>2888</v>
      </c>
      <c r="D3062" s="23"/>
      <c r="E3062" s="91">
        <v>2348400</v>
      </c>
      <c r="F3062" s="93"/>
      <c r="G3062" s="93">
        <f t="shared" si="584"/>
        <v>2348400</v>
      </c>
      <c r="H3062" s="94" t="s">
        <v>1</v>
      </c>
      <c r="I3062" s="94"/>
      <c r="J3062" s="91">
        <v>20099.39</v>
      </c>
      <c r="K3062" s="164" t="e">
        <f t="shared" si="586"/>
        <v>#VALUE!</v>
      </c>
      <c r="L3062" s="95">
        <f t="shared" si="585"/>
        <v>15029760</v>
      </c>
      <c r="M3062" s="20"/>
      <c r="N3062" s="20"/>
      <c r="O3062" s="130"/>
      <c r="P3062" s="156">
        <v>1037969974</v>
      </c>
      <c r="Q3062" s="157">
        <v>44348</v>
      </c>
      <c r="R3062" s="158">
        <v>117500</v>
      </c>
      <c r="S3062" s="158">
        <v>150400</v>
      </c>
      <c r="T3062" s="30"/>
      <c r="U3062" s="146"/>
      <c r="V3062" s="146"/>
    </row>
    <row r="3063" spans="1:24" s="31" customFormat="1" ht="15" hidden="1" x14ac:dyDescent="0.25">
      <c r="B3063" s="89">
        <v>44411.083333333336</v>
      </c>
      <c r="C3063" s="92" t="s">
        <v>2889</v>
      </c>
      <c r="D3063" s="23"/>
      <c r="E3063" s="91">
        <v>2348400</v>
      </c>
      <c r="F3063" s="93"/>
      <c r="G3063" s="93">
        <f t="shared" si="584"/>
        <v>2348400</v>
      </c>
      <c r="H3063" s="94"/>
      <c r="I3063" s="94"/>
      <c r="J3063" s="91">
        <v>20099.39</v>
      </c>
      <c r="K3063" s="25">
        <f t="shared" si="586"/>
        <v>2328300.61</v>
      </c>
      <c r="L3063" s="95">
        <f t="shared" si="585"/>
        <v>12681360</v>
      </c>
      <c r="M3063" s="20"/>
      <c r="N3063" s="20"/>
      <c r="O3063" s="130"/>
      <c r="P3063" s="156">
        <v>1038616843</v>
      </c>
      <c r="Q3063" s="157">
        <v>44378</v>
      </c>
      <c r="R3063" s="158">
        <v>117500</v>
      </c>
      <c r="S3063" s="158">
        <v>150400</v>
      </c>
      <c r="T3063" s="30"/>
      <c r="U3063" s="165">
        <f>+U3059-R3069</f>
        <v>2988</v>
      </c>
      <c r="V3063" s="165" t="s">
        <v>2769</v>
      </c>
      <c r="W3063" s="31">
        <v>2348400</v>
      </c>
      <c r="X3063" s="131">
        <f>+E3063-W3063</f>
        <v>0</v>
      </c>
    </row>
    <row r="3064" spans="1:24" s="31" customFormat="1" ht="15" hidden="1" x14ac:dyDescent="0.25">
      <c r="B3064" s="89">
        <v>44445.083333333336</v>
      </c>
      <c r="C3064" s="92" t="s">
        <v>2890</v>
      </c>
      <c r="D3064" s="23"/>
      <c r="E3064" s="91">
        <v>2348400</v>
      </c>
      <c r="F3064" s="93"/>
      <c r="G3064" s="93">
        <f t="shared" si="584"/>
        <v>2348400</v>
      </c>
      <c r="H3064" s="94"/>
      <c r="I3064" s="94"/>
      <c r="J3064" s="91">
        <v>20099.39</v>
      </c>
      <c r="K3064" s="25">
        <f t="shared" si="586"/>
        <v>2328300.61</v>
      </c>
      <c r="L3064" s="95">
        <f>+L3063-G3064</f>
        <v>10332960</v>
      </c>
      <c r="M3064" s="20"/>
      <c r="N3064" s="20"/>
      <c r="O3064" s="130"/>
      <c r="P3064" s="156">
        <v>1039282914</v>
      </c>
      <c r="Q3064" s="157">
        <v>44409</v>
      </c>
      <c r="R3064" s="158">
        <v>117500</v>
      </c>
      <c r="S3064" s="158">
        <v>150400</v>
      </c>
      <c r="T3064" s="30"/>
      <c r="U3064" s="165">
        <f>+U3060-S3069</f>
        <v>3792.6400000001304</v>
      </c>
      <c r="V3064" s="165" t="s">
        <v>2771</v>
      </c>
      <c r="X3064" s="131"/>
    </row>
    <row r="3065" spans="1:24" s="31" customFormat="1" ht="15" hidden="1" x14ac:dyDescent="0.25">
      <c r="B3065" s="89">
        <v>44475.083333333336</v>
      </c>
      <c r="C3065" s="92" t="s">
        <v>2891</v>
      </c>
      <c r="D3065" s="23"/>
      <c r="E3065" s="91">
        <v>2348400</v>
      </c>
      <c r="F3065" s="93"/>
      <c r="G3065" s="93">
        <f t="shared" si="584"/>
        <v>2348400</v>
      </c>
      <c r="H3065" s="94"/>
      <c r="I3065" s="94"/>
      <c r="J3065" s="91">
        <v>20099.39</v>
      </c>
      <c r="K3065" s="25">
        <f t="shared" si="586"/>
        <v>2328300.61</v>
      </c>
      <c r="L3065" s="95">
        <f>+L3064-G3065</f>
        <v>7984560</v>
      </c>
      <c r="M3065" s="20"/>
      <c r="N3065" s="20"/>
      <c r="O3065" s="130"/>
      <c r="P3065" s="156">
        <v>1039910345</v>
      </c>
      <c r="Q3065" s="157">
        <v>44440</v>
      </c>
      <c r="R3065" s="158">
        <v>117500</v>
      </c>
      <c r="S3065" s="158">
        <v>150400</v>
      </c>
      <c r="T3065" s="30"/>
      <c r="U3065" s="146"/>
      <c r="V3065" s="146"/>
      <c r="X3065" s="131"/>
    </row>
    <row r="3066" spans="1:24" s="31" customFormat="1" ht="15" hidden="1" x14ac:dyDescent="0.25">
      <c r="B3066" s="89">
        <v>44508.125</v>
      </c>
      <c r="C3066" s="92" t="s">
        <v>2892</v>
      </c>
      <c r="D3066" s="23"/>
      <c r="E3066" s="91">
        <v>2348400</v>
      </c>
      <c r="F3066" s="93"/>
      <c r="G3066" s="93">
        <f t="shared" si="584"/>
        <v>2348400</v>
      </c>
      <c r="H3066" s="94"/>
      <c r="I3066" s="94"/>
      <c r="J3066" s="91">
        <v>20099.39</v>
      </c>
      <c r="K3066" s="25">
        <f t="shared" si="586"/>
        <v>2328300.61</v>
      </c>
      <c r="L3066" s="95">
        <f>+L3065-G3066</f>
        <v>5636160</v>
      </c>
      <c r="M3066" s="20"/>
      <c r="N3066" s="20"/>
      <c r="O3066" s="130"/>
      <c r="P3066" s="156">
        <v>1040584963</v>
      </c>
      <c r="Q3066" s="157">
        <v>44470</v>
      </c>
      <c r="R3066" s="158">
        <v>117500</v>
      </c>
      <c r="S3066" s="158">
        <v>150400</v>
      </c>
      <c r="T3066" s="30"/>
      <c r="U3066" s="146"/>
      <c r="V3066" s="146"/>
      <c r="X3066" s="131"/>
    </row>
    <row r="3067" spans="1:24" s="31" customFormat="1" ht="15" hidden="1" x14ac:dyDescent="0.25">
      <c r="B3067" s="89">
        <v>44539.125</v>
      </c>
      <c r="C3067" s="157" t="s">
        <v>2893</v>
      </c>
      <c r="D3067" s="158"/>
      <c r="E3067" s="91">
        <v>2348400</v>
      </c>
      <c r="F3067" s="93"/>
      <c r="G3067" s="93">
        <f t="shared" si="584"/>
        <v>2348400</v>
      </c>
      <c r="H3067" s="94"/>
      <c r="I3067" s="94"/>
      <c r="J3067" s="91">
        <v>20099.39</v>
      </c>
      <c r="K3067" s="25">
        <f>+G3067-H3067-I3067-J3067</f>
        <v>2328300.61</v>
      </c>
      <c r="L3067" s="95">
        <f>+L3066-G3067</f>
        <v>3287760</v>
      </c>
      <c r="M3067" s="20"/>
      <c r="N3067" s="20"/>
      <c r="O3067" s="130"/>
      <c r="P3067" s="156">
        <v>1041303824</v>
      </c>
      <c r="Q3067" s="157">
        <v>44501</v>
      </c>
      <c r="R3067" s="158">
        <v>117500</v>
      </c>
      <c r="S3067" s="158">
        <v>150400</v>
      </c>
      <c r="T3067" s="30"/>
      <c r="U3067" s="146"/>
      <c r="V3067" s="146"/>
      <c r="X3067" s="131"/>
    </row>
    <row r="3068" spans="1:24" s="31" customFormat="1" ht="15" hidden="1" x14ac:dyDescent="0.25">
      <c r="B3068" s="89">
        <v>44557.125</v>
      </c>
      <c r="C3068" s="157" t="s">
        <v>2894</v>
      </c>
      <c r="D3068" s="158"/>
      <c r="E3068" s="91">
        <v>2348400</v>
      </c>
      <c r="F3068" s="93"/>
      <c r="G3068" s="93">
        <f t="shared" si="584"/>
        <v>2348400</v>
      </c>
      <c r="H3068" s="94"/>
      <c r="I3068" s="94"/>
      <c r="J3068" s="91">
        <v>20099.39</v>
      </c>
      <c r="K3068" s="25">
        <f>+G3068-H3068-I3068-J3068</f>
        <v>2328300.61</v>
      </c>
      <c r="L3068" s="95">
        <f>+L3067-G3068</f>
        <v>939360</v>
      </c>
      <c r="M3068" s="20"/>
      <c r="N3068" s="20"/>
      <c r="O3068" s="130"/>
      <c r="P3068" s="156">
        <v>1041987383</v>
      </c>
      <c r="Q3068" s="157">
        <v>44531</v>
      </c>
      <c r="R3068" s="158">
        <v>117500</v>
      </c>
      <c r="S3068" s="158">
        <v>150400</v>
      </c>
      <c r="T3068" s="30"/>
      <c r="U3068" s="146"/>
      <c r="V3068" s="146"/>
      <c r="X3068" s="131"/>
    </row>
    <row r="3069" spans="1:24" s="31" customFormat="1" ht="15" hidden="1" x14ac:dyDescent="0.25">
      <c r="B3069" s="89"/>
      <c r="C3069" s="92"/>
      <c r="D3069" s="23"/>
      <c r="E3069" s="91"/>
      <c r="F3069" s="93"/>
      <c r="G3069" s="93"/>
      <c r="H3069" s="94"/>
      <c r="I3069" s="94"/>
      <c r="J3069" s="91"/>
      <c r="K3069" s="25"/>
      <c r="L3069" s="95"/>
      <c r="M3069" s="20"/>
      <c r="N3069" s="20"/>
      <c r="O3069" s="130"/>
      <c r="P3069" s="156"/>
      <c r="Q3069" s="157"/>
      <c r="R3069" s="161">
        <f>SUM(R3057:R3068)</f>
        <v>1335600</v>
      </c>
      <c r="S3069" s="162">
        <f>SUM(S3057:S3068)</f>
        <v>1709600</v>
      </c>
      <c r="T3069" s="30"/>
      <c r="U3069" s="146"/>
      <c r="V3069" s="146"/>
      <c r="X3069" s="131"/>
    </row>
    <row r="3070" spans="1:24" ht="21" hidden="1" customHeight="1" x14ac:dyDescent="0.25">
      <c r="A3070" s="21">
        <v>492021</v>
      </c>
      <c r="B3070" s="139" t="s">
        <v>2895</v>
      </c>
      <c r="C3070" s="140"/>
      <c r="D3070" s="141">
        <f>96133333+10000000</f>
        <v>106133333</v>
      </c>
      <c r="E3070" s="141">
        <f>+D3070</f>
        <v>106133333</v>
      </c>
      <c r="F3070" s="141"/>
      <c r="G3070" s="141"/>
      <c r="H3070" s="141"/>
      <c r="I3070" s="141"/>
      <c r="J3070" s="141"/>
      <c r="K3070" s="141"/>
      <c r="L3070" s="141">
        <f>+D3070</f>
        <v>106133333</v>
      </c>
      <c r="M3070" s="142"/>
      <c r="N3070" s="142"/>
      <c r="P3070" s="126"/>
      <c r="Q3070" s="126"/>
      <c r="R3070" s="29"/>
      <c r="S3070" s="29"/>
    </row>
    <row r="3071" spans="1:24" s="31" customFormat="1" ht="15" hidden="1" x14ac:dyDescent="0.25">
      <c r="B3071" s="89">
        <v>44230.125</v>
      </c>
      <c r="C3071" s="92" t="s">
        <v>2896</v>
      </c>
      <c r="D3071" s="23"/>
      <c r="E3071" s="91">
        <v>3296000</v>
      </c>
      <c r="F3071" s="93"/>
      <c r="G3071" s="93">
        <f t="shared" ref="G3071:G3087" si="587">+E3071</f>
        <v>3296000</v>
      </c>
      <c r="H3071" s="94"/>
      <c r="I3071" s="94"/>
      <c r="J3071" s="91">
        <v>28209.67</v>
      </c>
      <c r="K3071" s="25">
        <f t="shared" ref="K3071:K3087" si="588">+G3071-H3071-I3071-J3071</f>
        <v>3267790.33</v>
      </c>
      <c r="L3071" s="95">
        <f>+L3070-G3071</f>
        <v>102837333</v>
      </c>
      <c r="M3071" s="96"/>
      <c r="N3071" s="96"/>
      <c r="O3071" s="149">
        <f>+VLOOKUP(A3070,'[1]ANEXO 7 - PPTO VIG 2021'!$H$8:$AB$160,21,)-L3087</f>
        <v>-3908864</v>
      </c>
      <c r="P3071" s="156">
        <v>47177300</v>
      </c>
      <c r="Q3071" s="157">
        <v>44166</v>
      </c>
      <c r="R3071" s="158">
        <v>1500000</v>
      </c>
      <c r="S3071" s="158">
        <v>2040000</v>
      </c>
      <c r="T3071" s="30">
        <f>+L3070-2197333</f>
        <v>103936000</v>
      </c>
      <c r="U3071" s="30">
        <f>+T3071*40%</f>
        <v>41574400</v>
      </c>
      <c r="V3071" s="163">
        <v>0.4</v>
      </c>
    </row>
    <row r="3072" spans="1:24" s="31" customFormat="1" ht="15" hidden="1" x14ac:dyDescent="0.25">
      <c r="B3072" s="89">
        <v>44256.125</v>
      </c>
      <c r="C3072" s="92" t="s">
        <v>2897</v>
      </c>
      <c r="D3072" s="23"/>
      <c r="E3072" s="91">
        <v>8240000</v>
      </c>
      <c r="F3072" s="93"/>
      <c r="G3072" s="93">
        <f t="shared" si="587"/>
        <v>8240000</v>
      </c>
      <c r="H3072" s="94"/>
      <c r="I3072" s="94">
        <v>371350.24</v>
      </c>
      <c r="J3072" s="91">
        <v>70524.179999999993</v>
      </c>
      <c r="K3072" s="25">
        <f t="shared" si="588"/>
        <v>7798125.5800000001</v>
      </c>
      <c r="L3072" s="95">
        <f t="shared" ref="L3072:L3087" si="589">+L3071-G3072</f>
        <v>94597333</v>
      </c>
      <c r="M3072" s="96"/>
      <c r="N3072" s="96"/>
      <c r="O3072" s="130"/>
      <c r="P3072" s="156">
        <v>47821987</v>
      </c>
      <c r="Q3072" s="157">
        <v>44197</v>
      </c>
      <c r="R3072" s="158">
        <v>1500000</v>
      </c>
      <c r="S3072" s="158">
        <v>1920000</v>
      </c>
      <c r="T3072" s="30"/>
      <c r="U3072" s="30"/>
      <c r="V3072" s="146"/>
    </row>
    <row r="3073" spans="2:24" s="31" customFormat="1" ht="15" hidden="1" x14ac:dyDescent="0.25">
      <c r="B3073" s="89">
        <v>44292.083333333336</v>
      </c>
      <c r="C3073" s="92" t="s">
        <v>2898</v>
      </c>
      <c r="D3073" s="23"/>
      <c r="E3073" s="91">
        <v>8240000</v>
      </c>
      <c r="F3073" s="93"/>
      <c r="G3073" s="93">
        <f t="shared" si="587"/>
        <v>8240000</v>
      </c>
      <c r="H3073" s="94"/>
      <c r="I3073" s="91">
        <v>371350.24</v>
      </c>
      <c r="J3073" s="91">
        <v>70524.179999999993</v>
      </c>
      <c r="K3073" s="25">
        <f t="shared" si="588"/>
        <v>7798125.5800000001</v>
      </c>
      <c r="L3073" s="95">
        <f t="shared" si="589"/>
        <v>86357333</v>
      </c>
      <c r="M3073" s="96"/>
      <c r="N3073" s="96"/>
      <c r="O3073" s="130"/>
      <c r="P3073" s="156">
        <v>48455286</v>
      </c>
      <c r="Q3073" s="157">
        <v>44228</v>
      </c>
      <c r="R3073" s="158">
        <v>1500000</v>
      </c>
      <c r="S3073" s="158">
        <v>1920000</v>
      </c>
      <c r="T3073" s="30"/>
      <c r="U3073" s="30">
        <f>+U3071*12.5%</f>
        <v>5196800</v>
      </c>
      <c r="V3073" s="150" t="s">
        <v>11</v>
      </c>
    </row>
    <row r="3074" spans="2:24" s="31" customFormat="1" ht="15" hidden="1" x14ac:dyDescent="0.25">
      <c r="B3074" s="89">
        <v>44321.083333333336</v>
      </c>
      <c r="C3074" s="92" t="s">
        <v>2899</v>
      </c>
      <c r="D3074" s="23"/>
      <c r="E3074" s="91">
        <v>8240000</v>
      </c>
      <c r="F3074" s="93"/>
      <c r="G3074" s="93">
        <f t="shared" si="587"/>
        <v>8240000</v>
      </c>
      <c r="H3074" s="94"/>
      <c r="I3074" s="94">
        <v>371350.24</v>
      </c>
      <c r="J3074" s="91">
        <v>70524.179999999993</v>
      </c>
      <c r="K3074" s="25">
        <f t="shared" si="588"/>
        <v>7798125.5800000001</v>
      </c>
      <c r="L3074" s="95">
        <f t="shared" si="589"/>
        <v>78117333</v>
      </c>
      <c r="M3074" s="20">
        <v>8240000</v>
      </c>
      <c r="N3074" s="20">
        <f>+G3074-M3074</f>
        <v>0</v>
      </c>
      <c r="O3074" s="130"/>
      <c r="P3074" s="126">
        <v>49202519</v>
      </c>
      <c r="Q3074" s="127">
        <v>44256</v>
      </c>
      <c r="R3074" s="29">
        <v>1500000</v>
      </c>
      <c r="S3074" s="29">
        <v>1920000</v>
      </c>
      <c r="T3074" s="30"/>
      <c r="U3074" s="30">
        <f>+U3071*16%</f>
        <v>6651904</v>
      </c>
      <c r="V3074" s="151" t="s">
        <v>12</v>
      </c>
    </row>
    <row r="3075" spans="2:24" s="31" customFormat="1" ht="15" hidden="1" x14ac:dyDescent="0.25">
      <c r="B3075" s="89">
        <v>44350.083333333336</v>
      </c>
      <c r="C3075" s="92" t="s">
        <v>2900</v>
      </c>
      <c r="D3075" s="23"/>
      <c r="E3075" s="91">
        <v>8240000</v>
      </c>
      <c r="F3075" s="93"/>
      <c r="G3075" s="93">
        <f t="shared" si="587"/>
        <v>8240000</v>
      </c>
      <c r="H3075" s="94"/>
      <c r="I3075" s="94">
        <v>371350.24</v>
      </c>
      <c r="J3075" s="91">
        <v>70524.179999999993</v>
      </c>
      <c r="K3075" s="25">
        <f t="shared" si="588"/>
        <v>7798125.5800000001</v>
      </c>
      <c r="L3075" s="95">
        <f t="shared" si="589"/>
        <v>69877333</v>
      </c>
      <c r="M3075" s="20"/>
      <c r="N3075" s="20"/>
      <c r="O3075" s="130"/>
      <c r="P3075" s="126">
        <v>49853520</v>
      </c>
      <c r="Q3075" s="127">
        <v>44287</v>
      </c>
      <c r="R3075" s="29">
        <v>1500000</v>
      </c>
      <c r="S3075" s="29">
        <v>1920000</v>
      </c>
      <c r="T3075" s="30"/>
      <c r="U3075" s="30"/>
      <c r="V3075" s="146"/>
    </row>
    <row r="3076" spans="2:24" s="31" customFormat="1" ht="15" hidden="1" x14ac:dyDescent="0.25">
      <c r="B3076" s="89">
        <v>44379.083333333336</v>
      </c>
      <c r="C3076" s="92" t="s">
        <v>2901</v>
      </c>
      <c r="D3076" s="23"/>
      <c r="E3076" s="91">
        <v>8240000</v>
      </c>
      <c r="F3076" s="93"/>
      <c r="G3076" s="93">
        <f t="shared" si="587"/>
        <v>8240000</v>
      </c>
      <c r="H3076" s="94"/>
      <c r="I3076" s="94">
        <v>376047.04</v>
      </c>
      <c r="J3076" s="91">
        <v>70524.179999999993</v>
      </c>
      <c r="K3076" s="25">
        <f t="shared" si="588"/>
        <v>7793428.7800000003</v>
      </c>
      <c r="L3076" s="95">
        <f t="shared" si="589"/>
        <v>61637333</v>
      </c>
      <c r="M3076" s="20"/>
      <c r="N3076" s="20"/>
      <c r="O3076" s="130"/>
      <c r="P3076" s="126">
        <v>50485990</v>
      </c>
      <c r="Q3076" s="127">
        <v>44317</v>
      </c>
      <c r="R3076" s="29">
        <v>1500000</v>
      </c>
      <c r="S3076" s="29">
        <v>2040000</v>
      </c>
      <c r="T3076" s="30"/>
      <c r="U3076" s="30"/>
      <c r="V3076" s="146"/>
    </row>
    <row r="3077" spans="2:24" s="31" customFormat="1" ht="15" hidden="1" x14ac:dyDescent="0.25">
      <c r="B3077" s="89">
        <v>44411.083333333336</v>
      </c>
      <c r="C3077" s="92" t="s">
        <v>2902</v>
      </c>
      <c r="D3077" s="23"/>
      <c r="E3077" s="91">
        <v>8240000</v>
      </c>
      <c r="F3077" s="93"/>
      <c r="G3077" s="93">
        <f t="shared" si="587"/>
        <v>8240000</v>
      </c>
      <c r="H3077" s="94"/>
      <c r="I3077" s="94">
        <v>376047.04</v>
      </c>
      <c r="J3077" s="91">
        <v>70524.179999999993</v>
      </c>
      <c r="K3077" s="25">
        <f t="shared" si="588"/>
        <v>7793428.7800000003</v>
      </c>
      <c r="L3077" s="95">
        <f t="shared" si="589"/>
        <v>53397333</v>
      </c>
      <c r="M3077" s="20"/>
      <c r="N3077" s="20"/>
      <c r="O3077" s="130"/>
      <c r="P3077" s="126">
        <v>51139625</v>
      </c>
      <c r="Q3077" s="127">
        <v>44348</v>
      </c>
      <c r="R3077" s="29">
        <v>1500000</v>
      </c>
      <c r="S3077" s="29">
        <v>2040000</v>
      </c>
      <c r="T3077" s="30"/>
      <c r="U3077" s="30"/>
      <c r="V3077" s="146"/>
      <c r="W3077" s="31">
        <v>8240000</v>
      </c>
      <c r="X3077" s="131">
        <f>+E3077-W3077</f>
        <v>0</v>
      </c>
    </row>
    <row r="3078" spans="2:24" s="31" customFormat="1" ht="15" hidden="1" x14ac:dyDescent="0.25">
      <c r="B3078" s="89">
        <v>44428.083333333336</v>
      </c>
      <c r="C3078" s="92" t="s">
        <v>2903</v>
      </c>
      <c r="D3078" s="23"/>
      <c r="E3078" s="91">
        <v>1626386</v>
      </c>
      <c r="F3078" s="93"/>
      <c r="G3078" s="93">
        <f t="shared" si="587"/>
        <v>1626386</v>
      </c>
      <c r="H3078" s="94"/>
      <c r="I3078" s="94"/>
      <c r="J3078" s="91">
        <v>11384.7</v>
      </c>
      <c r="K3078" s="25">
        <f t="shared" si="588"/>
        <v>1615001.3</v>
      </c>
      <c r="L3078" s="95">
        <f t="shared" si="589"/>
        <v>51770947</v>
      </c>
      <c r="M3078" s="20"/>
      <c r="N3078" s="20"/>
      <c r="O3078" s="130"/>
      <c r="P3078" s="244" t="s">
        <v>2904</v>
      </c>
      <c r="Q3078" s="245"/>
      <c r="R3078" s="245"/>
      <c r="S3078" s="246"/>
      <c r="T3078" s="30"/>
      <c r="U3078" s="30"/>
      <c r="V3078" s="146"/>
      <c r="W3078" s="31">
        <v>1626386</v>
      </c>
      <c r="X3078" s="131">
        <f>+E3078-W3078</f>
        <v>0</v>
      </c>
    </row>
    <row r="3079" spans="2:24" s="31" customFormat="1" ht="15" hidden="1" x14ac:dyDescent="0.25">
      <c r="B3079" s="89">
        <v>44447.083333333336</v>
      </c>
      <c r="C3079" s="92" t="s">
        <v>2905</v>
      </c>
      <c r="D3079" s="23"/>
      <c r="E3079" s="91">
        <v>8240000</v>
      </c>
      <c r="F3079" s="93"/>
      <c r="G3079" s="93">
        <f t="shared" si="587"/>
        <v>8240000</v>
      </c>
      <c r="H3079" s="94"/>
      <c r="I3079" s="94">
        <v>371350.24</v>
      </c>
      <c r="J3079" s="91">
        <v>70524.179999999993</v>
      </c>
      <c r="K3079" s="25">
        <f t="shared" si="588"/>
        <v>7798125.5800000001</v>
      </c>
      <c r="L3079" s="95">
        <f t="shared" si="589"/>
        <v>43530947</v>
      </c>
      <c r="M3079" s="20"/>
      <c r="N3079" s="20"/>
      <c r="O3079" s="130"/>
      <c r="P3079" s="126">
        <v>51836627</v>
      </c>
      <c r="Q3079" s="127">
        <v>44378</v>
      </c>
      <c r="R3079" s="29">
        <v>1500000</v>
      </c>
      <c r="S3079" s="29">
        <v>2040000</v>
      </c>
      <c r="T3079" s="30"/>
      <c r="U3079" s="30"/>
      <c r="V3079" s="146"/>
      <c r="X3079" s="131"/>
    </row>
    <row r="3080" spans="2:24" s="31" customFormat="1" ht="15" hidden="1" x14ac:dyDescent="0.25">
      <c r="B3080" s="89">
        <v>44474.083333333336</v>
      </c>
      <c r="C3080" s="92" t="s">
        <v>2906</v>
      </c>
      <c r="D3080" s="23"/>
      <c r="E3080" s="91">
        <v>8240000</v>
      </c>
      <c r="F3080" s="93"/>
      <c r="G3080" s="93">
        <f t="shared" si="587"/>
        <v>8240000</v>
      </c>
      <c r="H3080" s="94"/>
      <c r="I3080" s="94">
        <v>371350.24</v>
      </c>
      <c r="J3080" s="91">
        <v>70524.179999999993</v>
      </c>
      <c r="K3080" s="25">
        <f t="shared" si="588"/>
        <v>7798125.5800000001</v>
      </c>
      <c r="L3080" s="95">
        <f t="shared" si="589"/>
        <v>35290947</v>
      </c>
      <c r="M3080" s="20"/>
      <c r="N3080" s="20"/>
      <c r="O3080" s="130"/>
      <c r="P3080" s="126">
        <v>52524664</v>
      </c>
      <c r="Q3080" s="127">
        <v>44409</v>
      </c>
      <c r="R3080" s="29">
        <v>1500000</v>
      </c>
      <c r="S3080" s="29">
        <v>2040000</v>
      </c>
      <c r="T3080" s="30"/>
      <c r="U3080" s="30"/>
      <c r="V3080" s="146"/>
      <c r="X3080" s="131"/>
    </row>
    <row r="3081" spans="2:24" s="31" customFormat="1" ht="15" hidden="1" x14ac:dyDescent="0.25">
      <c r="B3081" s="89">
        <v>44481.083333333336</v>
      </c>
      <c r="C3081" s="92" t="s">
        <v>2907</v>
      </c>
      <c r="D3081" s="23"/>
      <c r="E3081" s="91">
        <v>2477468</v>
      </c>
      <c r="F3081" s="93"/>
      <c r="G3081" s="93">
        <f t="shared" si="587"/>
        <v>2477468</v>
      </c>
      <c r="H3081" s="94"/>
      <c r="I3081" s="94">
        <v>500107.84</v>
      </c>
      <c r="J3081" s="91">
        <v>15111.25</v>
      </c>
      <c r="K3081" s="25">
        <f t="shared" si="588"/>
        <v>1962248.91</v>
      </c>
      <c r="L3081" s="95">
        <f t="shared" si="589"/>
        <v>32813479</v>
      </c>
      <c r="M3081" s="20"/>
      <c r="N3081" s="20"/>
      <c r="O3081" s="130"/>
      <c r="P3081" s="244" t="s">
        <v>2904</v>
      </c>
      <c r="Q3081" s="245"/>
      <c r="R3081" s="245"/>
      <c r="S3081" s="246"/>
      <c r="T3081" s="30"/>
      <c r="U3081" s="30"/>
      <c r="V3081" s="146"/>
      <c r="X3081" s="131"/>
    </row>
    <row r="3082" spans="2:24" s="31" customFormat="1" ht="15" hidden="1" x14ac:dyDescent="0.25">
      <c r="B3082" s="89">
        <v>44505.083333333336</v>
      </c>
      <c r="C3082" s="92" t="s">
        <v>2908</v>
      </c>
      <c r="D3082" s="23"/>
      <c r="E3082" s="91">
        <v>8240000</v>
      </c>
      <c r="F3082" s="93"/>
      <c r="G3082" s="93">
        <f t="shared" si="587"/>
        <v>8240000</v>
      </c>
      <c r="H3082" s="94"/>
      <c r="I3082" s="94">
        <v>371350.24</v>
      </c>
      <c r="J3082" s="91">
        <v>70524.179999999993</v>
      </c>
      <c r="K3082" s="25">
        <f t="shared" si="588"/>
        <v>7798125.5800000001</v>
      </c>
      <c r="L3082" s="95">
        <f t="shared" si="589"/>
        <v>24573479</v>
      </c>
      <c r="M3082" s="20"/>
      <c r="N3082" s="20"/>
      <c r="O3082" s="130"/>
      <c r="P3082" s="126">
        <v>53248560</v>
      </c>
      <c r="Q3082" s="127">
        <v>44440</v>
      </c>
      <c r="R3082" s="29">
        <v>1500000</v>
      </c>
      <c r="S3082" s="29">
        <v>2040000</v>
      </c>
      <c r="T3082" s="30"/>
      <c r="U3082" s="30"/>
      <c r="V3082" s="146"/>
      <c r="X3082" s="131"/>
    </row>
    <row r="3083" spans="2:24" s="31" customFormat="1" ht="15" hidden="1" x14ac:dyDescent="0.25">
      <c r="B3083" s="89">
        <v>44525.125</v>
      </c>
      <c r="C3083" s="92" t="s">
        <v>2909</v>
      </c>
      <c r="D3083" s="23"/>
      <c r="E3083" s="91">
        <v>1315435</v>
      </c>
      <c r="F3083" s="93"/>
      <c r="G3083" s="93">
        <f t="shared" si="587"/>
        <v>1315435</v>
      </c>
      <c r="H3083" s="94"/>
      <c r="I3083" s="94">
        <v>0</v>
      </c>
      <c r="J3083" s="91">
        <v>6577.18</v>
      </c>
      <c r="K3083" s="25">
        <f t="shared" si="588"/>
        <v>1308857.82</v>
      </c>
      <c r="L3083" s="95">
        <f t="shared" si="589"/>
        <v>23258044</v>
      </c>
      <c r="M3083" s="20"/>
      <c r="N3083" s="20"/>
      <c r="O3083" s="130"/>
      <c r="P3083" s="244" t="s">
        <v>2904</v>
      </c>
      <c r="Q3083" s="245"/>
      <c r="R3083" s="245"/>
      <c r="S3083" s="246"/>
      <c r="T3083" s="30"/>
      <c r="U3083" s="30"/>
      <c r="V3083" s="146"/>
      <c r="X3083" s="131"/>
    </row>
    <row r="3084" spans="2:24" s="31" customFormat="1" ht="15" hidden="1" x14ac:dyDescent="0.25">
      <c r="B3084" s="89">
        <v>44525.125</v>
      </c>
      <c r="C3084" s="92" t="s">
        <v>2910</v>
      </c>
      <c r="D3084" s="23"/>
      <c r="E3084" s="91">
        <v>1562855</v>
      </c>
      <c r="F3084" s="93"/>
      <c r="G3084" s="93">
        <f t="shared" si="587"/>
        <v>1562855</v>
      </c>
      <c r="H3084" s="94"/>
      <c r="I3084" s="94">
        <v>308039.11</v>
      </c>
      <c r="J3084" s="91">
        <v>7814.28</v>
      </c>
      <c r="K3084" s="25">
        <f t="shared" si="588"/>
        <v>1247001.6100000001</v>
      </c>
      <c r="L3084" s="95">
        <f t="shared" si="589"/>
        <v>21695189</v>
      </c>
      <c r="M3084" s="20"/>
      <c r="N3084" s="20"/>
      <c r="O3084" s="130"/>
      <c r="P3084" s="244" t="s">
        <v>2904</v>
      </c>
      <c r="Q3084" s="245"/>
      <c r="R3084" s="245"/>
      <c r="S3084" s="246"/>
      <c r="T3084" s="30"/>
      <c r="U3084" s="30"/>
      <c r="V3084" s="146"/>
      <c r="X3084" s="131"/>
    </row>
    <row r="3085" spans="2:24" s="31" customFormat="1" ht="15" hidden="1" x14ac:dyDescent="0.25">
      <c r="B3085" s="89">
        <v>44539.125</v>
      </c>
      <c r="C3085" s="92" t="s">
        <v>2911</v>
      </c>
      <c r="D3085" s="23"/>
      <c r="E3085" s="91">
        <v>8240000</v>
      </c>
      <c r="F3085" s="93"/>
      <c r="G3085" s="93">
        <f t="shared" si="587"/>
        <v>8240000</v>
      </c>
      <c r="H3085" s="94"/>
      <c r="I3085" s="94">
        <v>371350.24</v>
      </c>
      <c r="J3085" s="91">
        <v>70524.179999999993</v>
      </c>
      <c r="K3085" s="25">
        <f t="shared" si="588"/>
        <v>7798125.5800000001</v>
      </c>
      <c r="L3085" s="95">
        <f t="shared" si="589"/>
        <v>13455189</v>
      </c>
      <c r="M3085" s="20"/>
      <c r="N3085" s="20"/>
      <c r="O3085" s="130"/>
      <c r="P3085" s="126">
        <v>53871487</v>
      </c>
      <c r="Q3085" s="127">
        <v>44470</v>
      </c>
      <c r="R3085" s="29">
        <v>1500000</v>
      </c>
      <c r="S3085" s="29">
        <v>2040000</v>
      </c>
      <c r="T3085" s="30"/>
      <c r="U3085" s="30"/>
      <c r="V3085" s="146"/>
      <c r="X3085" s="131"/>
    </row>
    <row r="3086" spans="2:24" s="31" customFormat="1" ht="15" hidden="1" x14ac:dyDescent="0.25">
      <c r="B3086" s="89">
        <v>44553.125</v>
      </c>
      <c r="C3086" s="92" t="s">
        <v>2912</v>
      </c>
      <c r="D3086" s="23"/>
      <c r="E3086" s="91">
        <v>1306325</v>
      </c>
      <c r="F3086" s="93"/>
      <c r="G3086" s="93">
        <f t="shared" si="587"/>
        <v>1306325</v>
      </c>
      <c r="H3086" s="94"/>
      <c r="I3086" s="94">
        <v>254167.8</v>
      </c>
      <c r="J3086" s="91">
        <v>13063.25</v>
      </c>
      <c r="K3086" s="25">
        <f t="shared" si="588"/>
        <v>1039093.95</v>
      </c>
      <c r="L3086" s="95">
        <f t="shared" si="589"/>
        <v>12148864</v>
      </c>
      <c r="M3086" s="20"/>
      <c r="N3086" s="20"/>
      <c r="O3086" s="130"/>
      <c r="P3086" s="126">
        <v>54541770</v>
      </c>
      <c r="Q3086" s="127">
        <v>44501</v>
      </c>
      <c r="R3086" s="29">
        <v>1500000</v>
      </c>
      <c r="S3086" s="29">
        <v>2040000</v>
      </c>
      <c r="T3086" s="30"/>
      <c r="U3086" s="30"/>
      <c r="V3086" s="146"/>
      <c r="X3086" s="131"/>
    </row>
    <row r="3087" spans="2:24" s="31" customFormat="1" ht="15" hidden="1" x14ac:dyDescent="0.25">
      <c r="B3087" s="89">
        <v>44557.125</v>
      </c>
      <c r="C3087" s="92" t="s">
        <v>2913</v>
      </c>
      <c r="D3087" s="23"/>
      <c r="E3087" s="91">
        <v>8240000</v>
      </c>
      <c r="F3087" s="93"/>
      <c r="G3087" s="93">
        <f t="shared" si="587"/>
        <v>8240000</v>
      </c>
      <c r="H3087" s="94"/>
      <c r="I3087" s="94">
        <v>371350.24</v>
      </c>
      <c r="J3087" s="91">
        <v>70524.179999999993</v>
      </c>
      <c r="K3087" s="25">
        <f t="shared" si="588"/>
        <v>7798125.5800000001</v>
      </c>
      <c r="L3087" s="95">
        <f t="shared" si="589"/>
        <v>3908864</v>
      </c>
      <c r="M3087" s="20"/>
      <c r="N3087" s="20"/>
      <c r="O3087" s="130"/>
      <c r="P3087" s="126">
        <v>55335923</v>
      </c>
      <c r="Q3087" s="127">
        <v>44531</v>
      </c>
      <c r="R3087" s="29">
        <v>1500000</v>
      </c>
      <c r="S3087" s="29">
        <v>2040000</v>
      </c>
      <c r="T3087" s="30"/>
      <c r="U3087" s="30"/>
      <c r="V3087" s="146"/>
      <c r="X3087" s="131"/>
    </row>
    <row r="3088" spans="2:24" s="31" customFormat="1" ht="15" hidden="1" x14ac:dyDescent="0.25">
      <c r="B3088" s="89"/>
      <c r="C3088" s="92"/>
      <c r="D3088" s="23"/>
      <c r="E3088" s="91"/>
      <c r="F3088" s="93"/>
      <c r="G3088" s="93"/>
      <c r="H3088" s="94"/>
      <c r="I3088" s="94"/>
      <c r="J3088" s="91"/>
      <c r="K3088" s="25"/>
      <c r="L3088" s="95"/>
      <c r="M3088" s="20"/>
      <c r="N3088" s="20"/>
      <c r="O3088" s="130"/>
      <c r="P3088" s="126"/>
      <c r="Q3088" s="127"/>
      <c r="R3088" s="161">
        <f>+SUM(R3071+R3072+R3073+R3074+R3075+R3076+R3077+R3079+R3080+R3082+R3085+R3086+R3087)</f>
        <v>19500000</v>
      </c>
      <c r="S3088" s="162">
        <f>+SUM(S3071+S3072+S3073+S3074+S3075+S3076+S3077+S3079+S3080+S3082+S3085+S3086+S3087)</f>
        <v>26040000</v>
      </c>
      <c r="T3088" s="30"/>
      <c r="U3088" s="30"/>
      <c r="V3088" s="146"/>
      <c r="X3088" s="131"/>
    </row>
    <row r="3089" spans="1:24" ht="21" hidden="1" customHeight="1" x14ac:dyDescent="0.25">
      <c r="A3089" s="21">
        <v>502021</v>
      </c>
      <c r="B3089" s="139" t="s">
        <v>2914</v>
      </c>
      <c r="C3089" s="140"/>
      <c r="D3089" s="141">
        <v>73912800</v>
      </c>
      <c r="E3089" s="141">
        <f>+D3089</f>
        <v>73912800</v>
      </c>
      <c r="F3089" s="141"/>
      <c r="G3089" s="141"/>
      <c r="H3089" s="141"/>
      <c r="I3089" s="141"/>
      <c r="J3089" s="141"/>
      <c r="K3089" s="141"/>
      <c r="L3089" s="141">
        <f>+D3089</f>
        <v>73912800</v>
      </c>
      <c r="M3089" s="142"/>
      <c r="N3089" s="142"/>
      <c r="P3089" s="126"/>
      <c r="Q3089" s="126"/>
      <c r="R3089" s="29"/>
      <c r="S3089" s="29"/>
      <c r="U3089" s="3"/>
    </row>
    <row r="3090" spans="1:24" s="31" customFormat="1" ht="15" hidden="1" x14ac:dyDescent="0.25">
      <c r="B3090" s="89">
        <v>44239.125</v>
      </c>
      <c r="C3090" s="92" t="s">
        <v>2915</v>
      </c>
      <c r="D3090" s="23"/>
      <c r="E3090" s="91">
        <v>2570880</v>
      </c>
      <c r="F3090" s="93"/>
      <c r="G3090" s="93">
        <f t="shared" ref="G3090:G3101" si="590">+E3090</f>
        <v>2570880</v>
      </c>
      <c r="H3090" s="94"/>
      <c r="I3090" s="94"/>
      <c r="J3090" s="91">
        <v>23795.279999999999</v>
      </c>
      <c r="K3090" s="25">
        <f t="shared" ref="K3090:K3101" si="591">+G3090-H3090-I3090-J3090</f>
        <v>2547084.7200000002</v>
      </c>
      <c r="L3090" s="95">
        <f t="shared" ref="L3090:L3096" si="592">+L3089-G3090</f>
        <v>71341920</v>
      </c>
      <c r="M3090" s="96"/>
      <c r="N3090" s="96"/>
      <c r="O3090" s="149">
        <f>+VLOOKUP(A3089,'[1]ANEXO 7 - PPTO VIG 2021'!$H$8:$AB$160,21,)-L3101</f>
        <v>-642720</v>
      </c>
      <c r="P3090" s="126">
        <v>7778524014</v>
      </c>
      <c r="Q3090" s="127">
        <v>44197</v>
      </c>
      <c r="R3090" s="29">
        <v>47200</v>
      </c>
      <c r="S3090" s="29">
        <v>60400</v>
      </c>
      <c r="T3090" s="30">
        <f>+L3089-642720</f>
        <v>73270080</v>
      </c>
      <c r="U3090" s="30">
        <f>+T3090*40%</f>
        <v>29308032</v>
      </c>
      <c r="V3090" s="146"/>
    </row>
    <row r="3091" spans="1:24" s="31" customFormat="1" ht="15" hidden="1" x14ac:dyDescent="0.25">
      <c r="B3091" s="89">
        <v>44270.083333333336</v>
      </c>
      <c r="C3091" s="92" t="s">
        <v>2916</v>
      </c>
      <c r="D3091" s="23"/>
      <c r="E3091" s="91">
        <v>6427200</v>
      </c>
      <c r="F3091" s="93"/>
      <c r="G3091" s="93">
        <f t="shared" si="590"/>
        <v>6427200</v>
      </c>
      <c r="H3091" s="94"/>
      <c r="I3091" s="94">
        <v>168929</v>
      </c>
      <c r="J3091" s="91">
        <v>62086.75</v>
      </c>
      <c r="K3091" s="25">
        <f t="shared" si="591"/>
        <v>6196184.25</v>
      </c>
      <c r="L3091" s="95">
        <f t="shared" si="592"/>
        <v>64914720</v>
      </c>
      <c r="M3091" s="96"/>
      <c r="N3091" s="96"/>
      <c r="O3091" s="130"/>
      <c r="P3091" s="126"/>
      <c r="Q3091" s="127"/>
      <c r="R3091" s="29"/>
      <c r="S3091" s="29"/>
      <c r="T3091" s="30"/>
      <c r="U3091" s="30"/>
      <c r="V3091" s="146"/>
    </row>
    <row r="3092" spans="1:24" s="31" customFormat="1" ht="15" hidden="1" x14ac:dyDescent="0.25">
      <c r="B3092" s="89">
        <v>44300.083333333336</v>
      </c>
      <c r="C3092" s="92" t="s">
        <v>2917</v>
      </c>
      <c r="D3092" s="23"/>
      <c r="E3092" s="91">
        <v>6427200</v>
      </c>
      <c r="F3092" s="93"/>
      <c r="G3092" s="93">
        <f t="shared" si="590"/>
        <v>6427200</v>
      </c>
      <c r="H3092" s="94"/>
      <c r="I3092" s="91">
        <v>62595.39</v>
      </c>
      <c r="J3092" s="91">
        <v>55008.86</v>
      </c>
      <c r="K3092" s="25">
        <f t="shared" si="591"/>
        <v>6309595.75</v>
      </c>
      <c r="L3092" s="95">
        <f t="shared" si="592"/>
        <v>58487520</v>
      </c>
      <c r="M3092" s="96"/>
      <c r="N3092" s="96"/>
      <c r="O3092" s="130"/>
      <c r="P3092" s="126">
        <v>7783742135</v>
      </c>
      <c r="Q3092" s="127">
        <v>44228</v>
      </c>
      <c r="R3092" s="29">
        <v>321400</v>
      </c>
      <c r="S3092" s="29">
        <v>411400</v>
      </c>
      <c r="T3092" s="30"/>
      <c r="U3092" s="30">
        <f>+U3090*12.5%</f>
        <v>3663504</v>
      </c>
      <c r="V3092" s="150" t="s">
        <v>11</v>
      </c>
    </row>
    <row r="3093" spans="1:24" s="31" customFormat="1" ht="15" hidden="1" x14ac:dyDescent="0.25">
      <c r="B3093" s="89">
        <v>44326.083333333336</v>
      </c>
      <c r="C3093" s="92" t="s">
        <v>2918</v>
      </c>
      <c r="D3093" s="23"/>
      <c r="E3093" s="91">
        <v>6427200</v>
      </c>
      <c r="F3093" s="93"/>
      <c r="G3093" s="93">
        <f t="shared" si="590"/>
        <v>6427200</v>
      </c>
      <c r="H3093" s="94"/>
      <c r="I3093" s="94">
        <v>62595.39</v>
      </c>
      <c r="J3093" s="91">
        <v>55008.86</v>
      </c>
      <c r="K3093" s="25">
        <f t="shared" si="591"/>
        <v>6309595.75</v>
      </c>
      <c r="L3093" s="95">
        <f t="shared" si="592"/>
        <v>52060320</v>
      </c>
      <c r="M3093" s="20">
        <v>6427200</v>
      </c>
      <c r="N3093" s="20">
        <f>+G3093-M3093</f>
        <v>0</v>
      </c>
      <c r="O3093" s="130"/>
      <c r="P3093" s="31">
        <v>7787005879</v>
      </c>
      <c r="Q3093" s="160">
        <v>44256</v>
      </c>
      <c r="R3093" s="29">
        <v>321400</v>
      </c>
      <c r="S3093" s="29">
        <v>411400</v>
      </c>
      <c r="T3093" s="30"/>
      <c r="U3093" s="30">
        <f>+U3090*16%</f>
        <v>4689285.1200000001</v>
      </c>
      <c r="V3093" s="151" t="s">
        <v>12</v>
      </c>
    </row>
    <row r="3094" spans="1:24" s="31" customFormat="1" ht="15" hidden="1" x14ac:dyDescent="0.25">
      <c r="B3094" s="89">
        <v>44356.083333333336</v>
      </c>
      <c r="C3094" s="92" t="s">
        <v>2919</v>
      </c>
      <c r="D3094" s="23"/>
      <c r="E3094" s="91">
        <v>6427200</v>
      </c>
      <c r="F3094" s="93"/>
      <c r="G3094" s="93">
        <f t="shared" si="590"/>
        <v>6427200</v>
      </c>
      <c r="H3094" s="94"/>
      <c r="I3094" s="94">
        <v>62595.39</v>
      </c>
      <c r="J3094" s="91">
        <v>55008.86</v>
      </c>
      <c r="K3094" s="25">
        <f t="shared" si="591"/>
        <v>6309595.75</v>
      </c>
      <c r="L3094" s="95">
        <f t="shared" si="592"/>
        <v>45633120</v>
      </c>
      <c r="M3094" s="20"/>
      <c r="N3094" s="20"/>
      <c r="O3094" s="130"/>
      <c r="P3094" s="31">
        <v>985825249</v>
      </c>
      <c r="Q3094" s="160">
        <v>44287</v>
      </c>
      <c r="R3094" s="29">
        <v>321400</v>
      </c>
      <c r="S3094" s="29">
        <v>411400</v>
      </c>
      <c r="T3094" s="30"/>
      <c r="U3094" s="30"/>
      <c r="V3094" s="146"/>
    </row>
    <row r="3095" spans="1:24" s="31" customFormat="1" ht="15" hidden="1" x14ac:dyDescent="0.25">
      <c r="B3095" s="89">
        <v>44386.083333333336</v>
      </c>
      <c r="C3095" s="92" t="s">
        <v>2920</v>
      </c>
      <c r="D3095" s="23"/>
      <c r="E3095" s="91">
        <v>6427200</v>
      </c>
      <c r="F3095" s="93"/>
      <c r="G3095" s="93">
        <f t="shared" si="590"/>
        <v>6427200</v>
      </c>
      <c r="H3095" s="94"/>
      <c r="I3095" s="94">
        <v>61939.89</v>
      </c>
      <c r="J3095" s="91">
        <v>55008.86</v>
      </c>
      <c r="K3095" s="25">
        <f t="shared" si="591"/>
        <v>6310251.25</v>
      </c>
      <c r="L3095" s="95">
        <f t="shared" si="592"/>
        <v>39205920</v>
      </c>
      <c r="M3095" s="20"/>
      <c r="N3095" s="20"/>
      <c r="O3095" s="130"/>
      <c r="P3095" s="31">
        <v>7800725511</v>
      </c>
      <c r="Q3095" s="160">
        <v>44317</v>
      </c>
      <c r="R3095" s="29">
        <v>433300</v>
      </c>
      <c r="S3095" s="29">
        <v>554600</v>
      </c>
      <c r="T3095" s="30"/>
      <c r="U3095" s="30">
        <f>+R3102-U3092</f>
        <v>380996</v>
      </c>
      <c r="V3095" s="146"/>
    </row>
    <row r="3096" spans="1:24" s="31" customFormat="1" ht="15" hidden="1" x14ac:dyDescent="0.25">
      <c r="B3096" s="89">
        <v>44419.083333333336</v>
      </c>
      <c r="C3096" s="92" t="s">
        <v>2921</v>
      </c>
      <c r="D3096" s="23"/>
      <c r="E3096" s="91">
        <v>6427200</v>
      </c>
      <c r="F3096" s="93"/>
      <c r="G3096" s="93">
        <f t="shared" si="590"/>
        <v>6427200</v>
      </c>
      <c r="H3096" s="94"/>
      <c r="I3096" s="94">
        <v>61939.89</v>
      </c>
      <c r="J3096" s="91">
        <v>55008.86</v>
      </c>
      <c r="K3096" s="25">
        <f t="shared" si="591"/>
        <v>6310251.25</v>
      </c>
      <c r="L3096" s="95">
        <f t="shared" si="592"/>
        <v>32778720</v>
      </c>
      <c r="M3096" s="20"/>
      <c r="N3096" s="20"/>
      <c r="O3096" s="130"/>
      <c r="P3096" s="31">
        <v>7803568156</v>
      </c>
      <c r="Q3096" s="160">
        <v>44348</v>
      </c>
      <c r="R3096" s="29">
        <v>433300</v>
      </c>
      <c r="S3096" s="29">
        <v>554600</v>
      </c>
      <c r="T3096" s="30"/>
      <c r="U3096" s="30">
        <f>+S3102-U3093</f>
        <v>487514.87999999989</v>
      </c>
      <c r="V3096" s="146"/>
      <c r="W3096" s="31">
        <v>6427200</v>
      </c>
      <c r="X3096" s="131">
        <f>+E3096-W3096</f>
        <v>0</v>
      </c>
    </row>
    <row r="3097" spans="1:24" s="31" customFormat="1" ht="15" hidden="1" x14ac:dyDescent="0.25">
      <c r="B3097" s="89">
        <v>44447.083333333336</v>
      </c>
      <c r="C3097" s="92" t="s">
        <v>2922</v>
      </c>
      <c r="D3097" s="23"/>
      <c r="E3097" s="91">
        <v>6427200</v>
      </c>
      <c r="F3097" s="93"/>
      <c r="G3097" s="93">
        <f t="shared" si="590"/>
        <v>6427200</v>
      </c>
      <c r="H3097" s="94"/>
      <c r="I3097" s="94">
        <v>61939.89</v>
      </c>
      <c r="J3097" s="91">
        <v>55008.86</v>
      </c>
      <c r="K3097" s="25">
        <f t="shared" si="591"/>
        <v>6310251.25</v>
      </c>
      <c r="L3097" s="95">
        <f>+L3096-G3097</f>
        <v>26351520</v>
      </c>
      <c r="M3097" s="20"/>
      <c r="N3097" s="20"/>
      <c r="O3097" s="130"/>
      <c r="P3097" s="31">
        <v>7807244411</v>
      </c>
      <c r="Q3097" s="160">
        <v>44378</v>
      </c>
      <c r="R3097" s="29">
        <v>433300</v>
      </c>
      <c r="S3097" s="29">
        <v>554600</v>
      </c>
      <c r="T3097" s="30"/>
      <c r="U3097" s="30"/>
      <c r="V3097" s="146"/>
      <c r="X3097" s="131"/>
    </row>
    <row r="3098" spans="1:24" s="31" customFormat="1" ht="15" hidden="1" x14ac:dyDescent="0.25">
      <c r="B3098" s="89">
        <v>44481.083333333336</v>
      </c>
      <c r="C3098" s="92" t="s">
        <v>2923</v>
      </c>
      <c r="D3098" s="23"/>
      <c r="E3098" s="91">
        <v>6427200</v>
      </c>
      <c r="F3098" s="93"/>
      <c r="G3098" s="93">
        <f t="shared" si="590"/>
        <v>6427200</v>
      </c>
      <c r="H3098" s="94"/>
      <c r="I3098" s="94">
        <v>61939.89</v>
      </c>
      <c r="J3098" s="91">
        <v>55008.86</v>
      </c>
      <c r="K3098" s="25">
        <f t="shared" si="591"/>
        <v>6310251.25</v>
      </c>
      <c r="L3098" s="95">
        <f>+L3097-G3098</f>
        <v>19924320</v>
      </c>
      <c r="M3098" s="20"/>
      <c r="N3098" s="20"/>
      <c r="O3098" s="130"/>
      <c r="P3098" s="31">
        <v>7809182438</v>
      </c>
      <c r="Q3098" s="160">
        <v>44409</v>
      </c>
      <c r="R3098" s="29">
        <v>433300</v>
      </c>
      <c r="S3098" s="29">
        <v>554600</v>
      </c>
      <c r="T3098" s="30"/>
      <c r="U3098" s="30"/>
      <c r="V3098" s="146"/>
      <c r="X3098" s="131"/>
    </row>
    <row r="3099" spans="1:24" s="31" customFormat="1" ht="15" hidden="1" x14ac:dyDescent="0.25">
      <c r="B3099" s="89">
        <v>44511.125</v>
      </c>
      <c r="C3099" s="92" t="s">
        <v>2924</v>
      </c>
      <c r="D3099" s="23"/>
      <c r="E3099" s="91">
        <v>6427200</v>
      </c>
      <c r="F3099" s="93"/>
      <c r="G3099" s="93">
        <f t="shared" si="590"/>
        <v>6427200</v>
      </c>
      <c r="H3099" s="94"/>
      <c r="I3099" s="94">
        <v>61939.89</v>
      </c>
      <c r="J3099" s="91">
        <v>55008.86</v>
      </c>
      <c r="K3099" s="25">
        <f t="shared" si="591"/>
        <v>6310251.25</v>
      </c>
      <c r="L3099" s="95">
        <f>+L3098-G3099</f>
        <v>13497120</v>
      </c>
      <c r="M3099" s="20"/>
      <c r="N3099" s="20"/>
      <c r="O3099" s="130"/>
      <c r="P3099" s="31">
        <v>7812660261</v>
      </c>
      <c r="Q3099" s="160">
        <v>44440</v>
      </c>
      <c r="R3099" s="29">
        <v>433300</v>
      </c>
      <c r="S3099" s="29">
        <v>554600</v>
      </c>
      <c r="T3099" s="30"/>
      <c r="U3099" s="30"/>
      <c r="V3099" s="146"/>
      <c r="X3099" s="131"/>
    </row>
    <row r="3100" spans="1:24" s="31" customFormat="1" ht="15" hidden="1" x14ac:dyDescent="0.25">
      <c r="B3100" s="89">
        <v>44540.125</v>
      </c>
      <c r="C3100" s="92" t="s">
        <v>2925</v>
      </c>
      <c r="D3100" s="23"/>
      <c r="E3100" s="91">
        <v>6427200</v>
      </c>
      <c r="F3100" s="93"/>
      <c r="G3100" s="93">
        <f t="shared" si="590"/>
        <v>6427200</v>
      </c>
      <c r="H3100" s="94"/>
      <c r="I3100" s="94">
        <v>61939.89</v>
      </c>
      <c r="J3100" s="91">
        <v>55008.86</v>
      </c>
      <c r="K3100" s="25">
        <f t="shared" si="591"/>
        <v>6310251.25</v>
      </c>
      <c r="L3100" s="95">
        <f>+L3099-G3100</f>
        <v>7069920</v>
      </c>
      <c r="M3100" s="20"/>
      <c r="N3100" s="20"/>
      <c r="O3100" s="130"/>
      <c r="P3100" s="31">
        <v>7815578262</v>
      </c>
      <c r="Q3100" s="160">
        <v>44470</v>
      </c>
      <c r="R3100" s="29">
        <v>433300</v>
      </c>
      <c r="S3100" s="29">
        <v>554600</v>
      </c>
      <c r="T3100" s="30"/>
      <c r="U3100" s="30"/>
      <c r="V3100" s="146"/>
      <c r="X3100" s="131"/>
    </row>
    <row r="3101" spans="1:24" s="31" customFormat="1" ht="15" hidden="1" x14ac:dyDescent="0.25">
      <c r="B3101" s="89">
        <v>44552.125</v>
      </c>
      <c r="C3101" s="92" t="s">
        <v>2926</v>
      </c>
      <c r="D3101" s="23"/>
      <c r="E3101" s="91">
        <v>6427200</v>
      </c>
      <c r="F3101" s="93"/>
      <c r="G3101" s="93">
        <f t="shared" si="590"/>
        <v>6427200</v>
      </c>
      <c r="H3101" s="94"/>
      <c r="I3101" s="94">
        <v>62595.39</v>
      </c>
      <c r="J3101" s="91">
        <v>55008.86</v>
      </c>
      <c r="K3101" s="25">
        <f t="shared" si="591"/>
        <v>6309595.75</v>
      </c>
      <c r="L3101" s="95">
        <f>+L3100-G3101</f>
        <v>642720</v>
      </c>
      <c r="M3101" s="20"/>
      <c r="N3101" s="20"/>
      <c r="O3101" s="130"/>
      <c r="P3101" s="31">
        <v>7819755010</v>
      </c>
      <c r="Q3101" s="160">
        <v>44501</v>
      </c>
      <c r="R3101" s="29">
        <v>433300</v>
      </c>
      <c r="S3101" s="29">
        <v>554600</v>
      </c>
      <c r="T3101" s="30"/>
      <c r="U3101" s="30"/>
      <c r="V3101" s="146"/>
      <c r="X3101" s="131"/>
    </row>
    <row r="3102" spans="1:24" s="31" customFormat="1" ht="15" hidden="1" x14ac:dyDescent="0.25">
      <c r="B3102" s="89"/>
      <c r="C3102" s="92"/>
      <c r="D3102" s="23"/>
      <c r="E3102" s="91"/>
      <c r="F3102" s="93"/>
      <c r="G3102" s="93"/>
      <c r="H3102" s="94"/>
      <c r="I3102" s="94"/>
      <c r="J3102" s="91"/>
      <c r="K3102" s="25"/>
      <c r="L3102" s="95"/>
      <c r="M3102" s="20"/>
      <c r="N3102" s="20"/>
      <c r="O3102" s="130"/>
      <c r="Q3102" s="160"/>
      <c r="R3102" s="152">
        <f>SUM(R3090:R3101)</f>
        <v>4044500</v>
      </c>
      <c r="S3102" s="123">
        <f>SUM(S3090:S3101)</f>
        <v>5176800</v>
      </c>
      <c r="T3102" s="30"/>
      <c r="U3102" s="30"/>
      <c r="V3102" s="146"/>
      <c r="X3102" s="131"/>
    </row>
    <row r="3103" spans="1:24" ht="15.75" hidden="1" customHeight="1" x14ac:dyDescent="0.25">
      <c r="A3103" s="21">
        <v>652021</v>
      </c>
      <c r="B3103" s="139" t="s">
        <v>2927</v>
      </c>
      <c r="C3103" s="140"/>
      <c r="D3103" s="141">
        <v>90933333</v>
      </c>
      <c r="E3103" s="141">
        <f>+D3103</f>
        <v>90933333</v>
      </c>
      <c r="F3103" s="141"/>
      <c r="G3103" s="141"/>
      <c r="H3103" s="141"/>
      <c r="I3103" s="141"/>
      <c r="J3103" s="141"/>
      <c r="K3103" s="141"/>
      <c r="L3103" s="141">
        <f>+D3103</f>
        <v>90933333</v>
      </c>
      <c r="M3103" s="142"/>
      <c r="N3103" s="142"/>
      <c r="P3103" s="126"/>
      <c r="Q3103" s="126"/>
      <c r="R3103" s="29"/>
      <c r="S3103" s="29"/>
      <c r="T3103" s="3">
        <f>+T3090*12.5%</f>
        <v>9158760</v>
      </c>
      <c r="U3103" s="3">
        <f>+U3090*12.5%</f>
        <v>3663504</v>
      </c>
    </row>
    <row r="3104" spans="1:24" ht="15.75" hidden="1" customHeight="1" x14ac:dyDescent="0.25">
      <c r="B3104" s="89">
        <v>44230.125</v>
      </c>
      <c r="C3104" s="92" t="s">
        <v>2928</v>
      </c>
      <c r="D3104" s="23"/>
      <c r="E3104" s="91">
        <v>2933333</v>
      </c>
      <c r="F3104" s="93"/>
      <c r="G3104" s="93">
        <f t="shared" ref="G3104:G3115" si="593">+E3104</f>
        <v>2933333</v>
      </c>
      <c r="H3104" s="94"/>
      <c r="I3104" s="94"/>
      <c r="J3104" s="91">
        <v>28336</v>
      </c>
      <c r="K3104" s="25">
        <f t="shared" ref="K3104:K3115" si="594">+G3104-H3104-I3104-J3104</f>
        <v>2904997</v>
      </c>
      <c r="L3104" s="95">
        <f t="shared" ref="L3104:L3110" si="595">+L3103-G3104</f>
        <v>88000000</v>
      </c>
      <c r="M3104" s="96"/>
      <c r="N3104" s="96"/>
      <c r="O3104" s="149">
        <f>+VLOOKUP(A3103,'[1]ANEXO 7 - PPTO VIG 2021'!$H$8:$AB$160,21,)-L3115</f>
        <v>0</v>
      </c>
      <c r="P3104" s="126">
        <v>47350995</v>
      </c>
      <c r="Q3104" s="127">
        <v>44166</v>
      </c>
      <c r="R3104" s="29">
        <v>375000</v>
      </c>
      <c r="S3104" s="29">
        <v>480000</v>
      </c>
      <c r="T3104" s="3">
        <f>+L3103</f>
        <v>90933333</v>
      </c>
      <c r="U3104" s="3">
        <f>+T3104*40%</f>
        <v>36373333.200000003</v>
      </c>
    </row>
    <row r="3105" spans="1:24" ht="15.75" hidden="1" customHeight="1" x14ac:dyDescent="0.25">
      <c r="B3105" s="89">
        <v>44256.125</v>
      </c>
      <c r="C3105" s="92" t="s">
        <v>2929</v>
      </c>
      <c r="D3105" s="23"/>
      <c r="E3105" s="91">
        <v>8000000</v>
      </c>
      <c r="F3105" s="93"/>
      <c r="G3105" s="93">
        <f t="shared" si="593"/>
        <v>8000000</v>
      </c>
      <c r="H3105" s="94"/>
      <c r="I3105" s="94">
        <v>238286.61</v>
      </c>
      <c r="J3105" s="91">
        <v>68470.080000000002</v>
      </c>
      <c r="K3105" s="25">
        <f t="shared" si="594"/>
        <v>7693243.3099999996</v>
      </c>
      <c r="L3105" s="95">
        <f t="shared" si="595"/>
        <v>80000000</v>
      </c>
      <c r="M3105" s="96"/>
      <c r="N3105" s="96"/>
      <c r="O3105" s="130"/>
      <c r="P3105" s="126">
        <v>48781050</v>
      </c>
      <c r="Q3105" s="127">
        <v>44197</v>
      </c>
      <c r="R3105" s="29">
        <v>400000</v>
      </c>
      <c r="S3105" s="29">
        <v>512000</v>
      </c>
      <c r="U3105" s="3"/>
    </row>
    <row r="3106" spans="1:24" ht="15.75" hidden="1" customHeight="1" x14ac:dyDescent="0.25">
      <c r="B3106" s="89">
        <v>44299.083333333336</v>
      </c>
      <c r="C3106" s="92" t="s">
        <v>2930</v>
      </c>
      <c r="D3106" s="23"/>
      <c r="E3106" s="91">
        <v>8000000</v>
      </c>
      <c r="F3106" s="93"/>
      <c r="G3106" s="93">
        <f t="shared" si="593"/>
        <v>8000000</v>
      </c>
      <c r="H3106" s="94"/>
      <c r="I3106" s="91">
        <v>238286.61</v>
      </c>
      <c r="J3106" s="91">
        <v>68470.080000000002</v>
      </c>
      <c r="K3106" s="25">
        <f t="shared" si="594"/>
        <v>7693243.3099999996</v>
      </c>
      <c r="L3106" s="95">
        <f t="shared" si="595"/>
        <v>72000000</v>
      </c>
      <c r="M3106" s="96"/>
      <c r="N3106" s="96"/>
      <c r="O3106" s="130"/>
      <c r="P3106" s="126">
        <v>49441831</v>
      </c>
      <c r="Q3106" s="127">
        <v>44228</v>
      </c>
      <c r="R3106" s="29">
        <v>400000</v>
      </c>
      <c r="S3106" s="29">
        <v>512000</v>
      </c>
      <c r="U3106" s="3">
        <f>+U3104*12.5%</f>
        <v>4546666.6500000004</v>
      </c>
      <c r="V3106" s="150" t="s">
        <v>11</v>
      </c>
    </row>
    <row r="3107" spans="1:24" ht="15.75" hidden="1" customHeight="1" x14ac:dyDescent="0.25">
      <c r="B3107" s="89">
        <v>44320.083333333336</v>
      </c>
      <c r="C3107" s="92" t="s">
        <v>2931</v>
      </c>
      <c r="D3107" s="23"/>
      <c r="E3107" s="91">
        <v>8000000</v>
      </c>
      <c r="F3107" s="93"/>
      <c r="G3107" s="93">
        <f t="shared" si="593"/>
        <v>8000000</v>
      </c>
      <c r="H3107" s="94"/>
      <c r="I3107" s="94">
        <v>238286.61</v>
      </c>
      <c r="J3107" s="91">
        <v>68470.080000000002</v>
      </c>
      <c r="K3107" s="25">
        <f t="shared" si="594"/>
        <v>7693243.3099999996</v>
      </c>
      <c r="L3107" s="95">
        <f t="shared" si="595"/>
        <v>64000000</v>
      </c>
      <c r="M3107" s="20">
        <v>8000000</v>
      </c>
      <c r="N3107" s="20">
        <f>+G3107-M3107</f>
        <v>0</v>
      </c>
      <c r="O3107" s="130"/>
      <c r="P3107" s="126">
        <v>49994008</v>
      </c>
      <c r="Q3107" s="127">
        <v>44256</v>
      </c>
      <c r="R3107" s="29">
        <v>400000</v>
      </c>
      <c r="S3107" s="29">
        <v>512000</v>
      </c>
      <c r="U3107" s="3">
        <f>+U3104*16%</f>
        <v>5819733.3120000008</v>
      </c>
      <c r="V3107" s="151" t="s">
        <v>12</v>
      </c>
    </row>
    <row r="3108" spans="1:24" ht="15.75" hidden="1" customHeight="1" x14ac:dyDescent="0.25">
      <c r="B3108" s="89">
        <v>44349.083333333336</v>
      </c>
      <c r="C3108" s="92" t="s">
        <v>2932</v>
      </c>
      <c r="D3108" s="23"/>
      <c r="E3108" s="91">
        <v>8000000</v>
      </c>
      <c r="F3108" s="93"/>
      <c r="G3108" s="93">
        <f t="shared" si="593"/>
        <v>8000000</v>
      </c>
      <c r="H3108" s="94"/>
      <c r="I3108" s="94">
        <v>238286.61</v>
      </c>
      <c r="J3108" s="91">
        <v>68470.080000000002</v>
      </c>
      <c r="K3108" s="25">
        <f t="shared" si="594"/>
        <v>7693243.3099999996</v>
      </c>
      <c r="L3108" s="95">
        <f t="shared" si="595"/>
        <v>56000000</v>
      </c>
      <c r="M3108" s="20"/>
      <c r="N3108" s="20"/>
      <c r="O3108" s="130"/>
      <c r="P3108" s="126">
        <v>999336736</v>
      </c>
      <c r="Q3108" s="127">
        <v>44287</v>
      </c>
      <c r="R3108" s="29">
        <v>400000</v>
      </c>
      <c r="S3108" s="29">
        <v>512000</v>
      </c>
      <c r="U3108" s="3"/>
    </row>
    <row r="3109" spans="1:24" ht="15.75" hidden="1" customHeight="1" x14ac:dyDescent="0.25">
      <c r="B3109" s="89">
        <v>44383.083333333336</v>
      </c>
      <c r="C3109" s="92" t="s">
        <v>2933</v>
      </c>
      <c r="D3109" s="23"/>
      <c r="E3109" s="91">
        <v>8000000</v>
      </c>
      <c r="F3109" s="93"/>
      <c r="G3109" s="93">
        <f t="shared" si="593"/>
        <v>8000000</v>
      </c>
      <c r="H3109" s="94"/>
      <c r="I3109" s="94">
        <v>238286.61</v>
      </c>
      <c r="J3109" s="91">
        <v>68470.080000000002</v>
      </c>
      <c r="K3109" s="25">
        <f t="shared" si="594"/>
        <v>7693243.3099999996</v>
      </c>
      <c r="L3109" s="95">
        <f t="shared" si="595"/>
        <v>48000000</v>
      </c>
      <c r="M3109" s="20"/>
      <c r="N3109" s="20"/>
      <c r="O3109" s="130"/>
      <c r="P3109" s="126">
        <v>51456886</v>
      </c>
      <c r="Q3109" s="127">
        <v>44317</v>
      </c>
      <c r="R3109" s="29">
        <v>400000</v>
      </c>
      <c r="S3109" s="29">
        <v>512000</v>
      </c>
      <c r="U3109" s="3"/>
    </row>
    <row r="3110" spans="1:24" ht="15.75" hidden="1" customHeight="1" x14ac:dyDescent="0.25">
      <c r="B3110" s="89">
        <v>44411.083333333336</v>
      </c>
      <c r="C3110" s="92" t="s">
        <v>2934</v>
      </c>
      <c r="D3110" s="23"/>
      <c r="E3110" s="91">
        <v>8000000</v>
      </c>
      <c r="F3110" s="93"/>
      <c r="G3110" s="93">
        <f t="shared" si="593"/>
        <v>8000000</v>
      </c>
      <c r="H3110" s="94"/>
      <c r="I3110" s="94">
        <v>238286.61</v>
      </c>
      <c r="J3110" s="91">
        <v>68470.080000000002</v>
      </c>
      <c r="K3110" s="25">
        <f t="shared" si="594"/>
        <v>7693243.3099999996</v>
      </c>
      <c r="L3110" s="95">
        <f t="shared" si="595"/>
        <v>40000000</v>
      </c>
      <c r="M3110" s="20"/>
      <c r="N3110" s="20"/>
      <c r="O3110" s="130"/>
      <c r="P3110" s="126">
        <v>52172588</v>
      </c>
      <c r="Q3110" s="127">
        <v>44348</v>
      </c>
      <c r="R3110" s="29">
        <v>400000</v>
      </c>
      <c r="S3110" s="29">
        <v>512000</v>
      </c>
      <c r="U3110" s="3"/>
      <c r="W3110" s="31">
        <v>8000000</v>
      </c>
      <c r="X3110" s="131">
        <f>+E3110-W3110</f>
        <v>0</v>
      </c>
    </row>
    <row r="3111" spans="1:24" ht="15.75" hidden="1" customHeight="1" x14ac:dyDescent="0.25">
      <c r="B3111" s="89">
        <v>44441.083333333336</v>
      </c>
      <c r="C3111" s="92" t="s">
        <v>2935</v>
      </c>
      <c r="D3111" s="23"/>
      <c r="E3111" s="91">
        <v>8000000</v>
      </c>
      <c r="F3111" s="93"/>
      <c r="G3111" s="93">
        <f t="shared" si="593"/>
        <v>8000000</v>
      </c>
      <c r="H3111" s="94"/>
      <c r="I3111" s="94">
        <v>238286.61</v>
      </c>
      <c r="J3111" s="91">
        <v>68470.080000000002</v>
      </c>
      <c r="K3111" s="25">
        <f t="shared" si="594"/>
        <v>7693243.3099999996</v>
      </c>
      <c r="L3111" s="95">
        <f>+L3110-G3111</f>
        <v>32000000</v>
      </c>
      <c r="M3111" s="20"/>
      <c r="N3111" s="20"/>
      <c r="O3111" s="130"/>
      <c r="P3111" s="126">
        <v>52790518</v>
      </c>
      <c r="Q3111" s="127">
        <v>44378</v>
      </c>
      <c r="R3111" s="29">
        <v>400000</v>
      </c>
      <c r="S3111" s="29">
        <v>512000</v>
      </c>
      <c r="U3111" s="3"/>
      <c r="W3111" s="31"/>
      <c r="X3111" s="131"/>
    </row>
    <row r="3112" spans="1:24" ht="15.75" hidden="1" customHeight="1" x14ac:dyDescent="0.25">
      <c r="B3112" s="89">
        <v>44474.083333333336</v>
      </c>
      <c r="C3112" s="92" t="s">
        <v>2936</v>
      </c>
      <c r="D3112" s="23"/>
      <c r="E3112" s="91">
        <v>8000000</v>
      </c>
      <c r="F3112" s="93"/>
      <c r="G3112" s="93">
        <f t="shared" si="593"/>
        <v>8000000</v>
      </c>
      <c r="H3112" s="94"/>
      <c r="I3112" s="94">
        <v>238286.61</v>
      </c>
      <c r="J3112" s="91">
        <v>68470.080000000002</v>
      </c>
      <c r="K3112" s="25">
        <f t="shared" si="594"/>
        <v>7693243.3099999996</v>
      </c>
      <c r="L3112" s="95">
        <f>+L3111-G3112</f>
        <v>24000000</v>
      </c>
      <c r="M3112" s="20"/>
      <c r="N3112" s="20"/>
      <c r="O3112" s="130"/>
      <c r="P3112" s="126">
        <v>53413158</v>
      </c>
      <c r="Q3112" s="127">
        <v>44409</v>
      </c>
      <c r="R3112" s="29">
        <v>400000</v>
      </c>
      <c r="S3112" s="29">
        <v>512000</v>
      </c>
      <c r="U3112" s="3"/>
      <c r="W3112" s="31"/>
      <c r="X3112" s="131"/>
    </row>
    <row r="3113" spans="1:24" ht="15.75" hidden="1" customHeight="1" x14ac:dyDescent="0.25">
      <c r="B3113" s="89">
        <v>44505.083333333336</v>
      </c>
      <c r="C3113" s="92" t="s">
        <v>2937</v>
      </c>
      <c r="D3113" s="23"/>
      <c r="E3113" s="91">
        <v>8000000</v>
      </c>
      <c r="F3113" s="93"/>
      <c r="G3113" s="93">
        <f t="shared" si="593"/>
        <v>8000000</v>
      </c>
      <c r="H3113" s="94"/>
      <c r="I3113" s="94">
        <v>238286.61</v>
      </c>
      <c r="J3113" s="91">
        <v>68470.080000000002</v>
      </c>
      <c r="K3113" s="25">
        <f t="shared" si="594"/>
        <v>7693243.3099999996</v>
      </c>
      <c r="L3113" s="95">
        <f>+L3112-G3113</f>
        <v>16000000</v>
      </c>
      <c r="M3113" s="20"/>
      <c r="N3113" s="20"/>
      <c r="O3113" s="130"/>
      <c r="P3113" s="126">
        <v>54194314</v>
      </c>
      <c r="Q3113" s="127">
        <v>44440</v>
      </c>
      <c r="R3113" s="29">
        <v>400000</v>
      </c>
      <c r="S3113" s="29">
        <v>512000</v>
      </c>
      <c r="U3113" s="3"/>
      <c r="W3113" s="31"/>
      <c r="X3113" s="131"/>
    </row>
    <row r="3114" spans="1:24" ht="15.75" hidden="1" customHeight="1" x14ac:dyDescent="0.25">
      <c r="B3114" s="89">
        <v>44533.125</v>
      </c>
      <c r="C3114" s="92" t="s">
        <v>2938</v>
      </c>
      <c r="D3114" s="23"/>
      <c r="E3114" s="91">
        <v>8000000</v>
      </c>
      <c r="F3114" s="93"/>
      <c r="G3114" s="93">
        <f t="shared" si="593"/>
        <v>8000000</v>
      </c>
      <c r="H3114" s="94"/>
      <c r="I3114" s="94">
        <v>238286.61</v>
      </c>
      <c r="J3114" s="91">
        <v>68470.080000000002</v>
      </c>
      <c r="K3114" s="25">
        <f t="shared" si="594"/>
        <v>7693243.3099999996</v>
      </c>
      <c r="L3114" s="95">
        <f>+L3113-G3114</f>
        <v>8000000</v>
      </c>
      <c r="M3114" s="20"/>
      <c r="N3114" s="20"/>
      <c r="O3114" s="130"/>
      <c r="P3114" s="126">
        <v>54843091</v>
      </c>
      <c r="Q3114" s="127">
        <v>44470</v>
      </c>
      <c r="R3114" s="29">
        <v>400000</v>
      </c>
      <c r="S3114" s="29">
        <v>512000</v>
      </c>
      <c r="U3114" s="3"/>
      <c r="W3114" s="31"/>
      <c r="X3114" s="131"/>
    </row>
    <row r="3115" spans="1:24" ht="15.75" hidden="1" customHeight="1" x14ac:dyDescent="0.25">
      <c r="B3115" s="89">
        <v>44553.125</v>
      </c>
      <c r="C3115" s="92" t="s">
        <v>2939</v>
      </c>
      <c r="D3115" s="23"/>
      <c r="E3115" s="91">
        <v>8000000</v>
      </c>
      <c r="F3115" s="93"/>
      <c r="G3115" s="93">
        <f t="shared" si="593"/>
        <v>8000000</v>
      </c>
      <c r="H3115" s="94"/>
      <c r="I3115" s="94">
        <v>238286.61</v>
      </c>
      <c r="J3115" s="91">
        <v>68470.080000000002</v>
      </c>
      <c r="K3115" s="25">
        <f t="shared" si="594"/>
        <v>7693243.3099999996</v>
      </c>
      <c r="L3115" s="95">
        <f>+L3114-G3115</f>
        <v>0</v>
      </c>
      <c r="M3115" s="20"/>
      <c r="N3115" s="20"/>
      <c r="O3115" s="130"/>
      <c r="P3115" s="126">
        <v>55324868</v>
      </c>
      <c r="Q3115" s="127">
        <v>44501</v>
      </c>
      <c r="R3115" s="29">
        <v>400000</v>
      </c>
      <c r="S3115" s="29">
        <v>512000</v>
      </c>
      <c r="U3115" s="3"/>
      <c r="W3115" s="31"/>
      <c r="X3115" s="131"/>
    </row>
    <row r="3116" spans="1:24" ht="15.75" hidden="1" customHeight="1" x14ac:dyDescent="0.25">
      <c r="B3116" s="89"/>
      <c r="C3116" s="92"/>
      <c r="D3116" s="23"/>
      <c r="E3116" s="91"/>
      <c r="F3116" s="93"/>
      <c r="G3116" s="93"/>
      <c r="H3116" s="94"/>
      <c r="I3116" s="94"/>
      <c r="J3116" s="91"/>
      <c r="K3116" s="25"/>
      <c r="L3116" s="95"/>
      <c r="M3116" s="20"/>
      <c r="N3116" s="20"/>
      <c r="O3116" s="130"/>
      <c r="P3116" s="126">
        <v>55329018</v>
      </c>
      <c r="Q3116" s="127">
        <v>44531</v>
      </c>
      <c r="R3116" s="29">
        <v>400000</v>
      </c>
      <c r="S3116" s="29">
        <v>512000</v>
      </c>
      <c r="U3116" s="3"/>
      <c r="W3116" s="31"/>
      <c r="X3116" s="131"/>
    </row>
    <row r="3117" spans="1:24" ht="15.75" hidden="1" customHeight="1" x14ac:dyDescent="0.25">
      <c r="B3117" s="89"/>
      <c r="C3117" s="92"/>
      <c r="D3117" s="23"/>
      <c r="E3117" s="91"/>
      <c r="F3117" s="93"/>
      <c r="G3117" s="93"/>
      <c r="H3117" s="94"/>
      <c r="I3117" s="94"/>
      <c r="J3117" s="91"/>
      <c r="K3117" s="25"/>
      <c r="L3117" s="95"/>
      <c r="M3117" s="20"/>
      <c r="N3117" s="20"/>
      <c r="O3117" s="130"/>
      <c r="P3117" s="126"/>
      <c r="Q3117" s="127"/>
      <c r="R3117" s="152">
        <f>SUM(R3104:R3116)</f>
        <v>5175000</v>
      </c>
      <c r="S3117" s="123">
        <f>SUM(S3104:S3116)</f>
        <v>6624000</v>
      </c>
      <c r="U3117" s="3"/>
      <c r="W3117" s="31"/>
      <c r="X3117" s="131"/>
    </row>
    <row r="3118" spans="1:24" ht="15.75" hidden="1" customHeight="1" x14ac:dyDescent="0.25">
      <c r="A3118" s="21">
        <v>662021</v>
      </c>
      <c r="B3118" s="139" t="s">
        <v>2940</v>
      </c>
      <c r="C3118" s="140"/>
      <c r="D3118" s="141">
        <v>113027467</v>
      </c>
      <c r="E3118" s="141">
        <f>+D3118</f>
        <v>113027467</v>
      </c>
      <c r="F3118" s="141"/>
      <c r="G3118" s="141"/>
      <c r="H3118" s="141"/>
      <c r="I3118" s="141"/>
      <c r="J3118" s="141"/>
      <c r="K3118" s="141"/>
      <c r="L3118" s="141">
        <f>+D3118</f>
        <v>113027467</v>
      </c>
      <c r="M3118" s="142"/>
      <c r="N3118" s="142"/>
      <c r="P3118" s="126"/>
      <c r="Q3118" s="126"/>
      <c r="R3118" s="29"/>
      <c r="S3118" s="29"/>
      <c r="U3118" s="3"/>
    </row>
    <row r="3119" spans="1:24" s="31" customFormat="1" ht="15" hidden="1" x14ac:dyDescent="0.25">
      <c r="B3119" s="89">
        <v>44238.125</v>
      </c>
      <c r="C3119" s="92" t="s">
        <v>2941</v>
      </c>
      <c r="D3119" s="23"/>
      <c r="E3119" s="91">
        <v>3021333</v>
      </c>
      <c r="F3119" s="93"/>
      <c r="G3119" s="93">
        <f t="shared" ref="G3119:G3133" si="596">+E3119</f>
        <v>3021333</v>
      </c>
      <c r="H3119" s="94"/>
      <c r="I3119" s="94"/>
      <c r="J3119" s="94">
        <v>29186.080000000002</v>
      </c>
      <c r="K3119" s="25">
        <f t="shared" ref="K3119:K3133" si="597">+G3119-H3119-I3119-J3119</f>
        <v>2992146.92</v>
      </c>
      <c r="L3119" s="95">
        <f t="shared" ref="L3119:L3133" si="598">+L3118-G3119</f>
        <v>110006134</v>
      </c>
      <c r="M3119" s="96"/>
      <c r="N3119" s="96"/>
      <c r="O3119" s="149">
        <f>+VLOOKUP(A3118,'[1]ANEXO 7 - PPTO VIG 2021'!$H$8:$AB$160,21,)-L3133</f>
        <v>-9529226</v>
      </c>
      <c r="P3119" s="126">
        <v>9413923254</v>
      </c>
      <c r="Q3119" s="127">
        <v>44166</v>
      </c>
      <c r="R3119" s="29">
        <v>440000</v>
      </c>
      <c r="S3119" s="29">
        <v>598400</v>
      </c>
      <c r="T3119" s="30">
        <f>+L3118-9366134-10000000</f>
        <v>93661333</v>
      </c>
      <c r="U3119" s="30">
        <f>+T3119*40%</f>
        <v>37464533.200000003</v>
      </c>
      <c r="V3119" s="146"/>
    </row>
    <row r="3120" spans="1:24" s="31" customFormat="1" ht="15" hidden="1" x14ac:dyDescent="0.25">
      <c r="B3120" s="89">
        <v>44256.125</v>
      </c>
      <c r="C3120" s="92" t="s">
        <v>2942</v>
      </c>
      <c r="D3120" s="23"/>
      <c r="E3120" s="91">
        <v>9064000</v>
      </c>
      <c r="F3120" s="93"/>
      <c r="G3120" s="93">
        <f t="shared" si="596"/>
        <v>9064000</v>
      </c>
      <c r="H3120" s="94"/>
      <c r="I3120" s="94">
        <v>357146.4</v>
      </c>
      <c r="J3120" s="94">
        <v>77576.600000000006</v>
      </c>
      <c r="K3120" s="25">
        <f t="shared" si="597"/>
        <v>8629277</v>
      </c>
      <c r="L3120" s="95">
        <f t="shared" si="598"/>
        <v>100942134</v>
      </c>
      <c r="M3120" s="96"/>
      <c r="N3120" s="96"/>
      <c r="O3120" s="130"/>
      <c r="P3120" s="126">
        <v>9416190174</v>
      </c>
      <c r="Q3120" s="127">
        <v>44197</v>
      </c>
      <c r="R3120" s="29">
        <v>124900</v>
      </c>
      <c r="S3120" s="29">
        <v>159800</v>
      </c>
      <c r="T3120" s="30"/>
      <c r="U3120" s="30"/>
      <c r="V3120" s="146"/>
    </row>
    <row r="3121" spans="1:24" s="31" customFormat="1" ht="15" hidden="1" x14ac:dyDescent="0.25">
      <c r="B3121" s="89">
        <v>44292.083333333336</v>
      </c>
      <c r="C3121" s="92" t="s">
        <v>2943</v>
      </c>
      <c r="D3121" s="23"/>
      <c r="E3121" s="91">
        <v>9064000</v>
      </c>
      <c r="F3121" s="93"/>
      <c r="G3121" s="93">
        <f t="shared" si="596"/>
        <v>9064000</v>
      </c>
      <c r="H3121" s="94"/>
      <c r="I3121" s="94">
        <v>357146.4</v>
      </c>
      <c r="J3121" s="94">
        <v>77576.600000000006</v>
      </c>
      <c r="K3121" s="25">
        <f t="shared" si="597"/>
        <v>8629277</v>
      </c>
      <c r="L3121" s="95">
        <f t="shared" si="598"/>
        <v>91878134</v>
      </c>
      <c r="M3121" s="96"/>
      <c r="N3121" s="96"/>
      <c r="O3121" s="130"/>
      <c r="P3121" s="126">
        <v>9417785671</v>
      </c>
      <c r="Q3121" s="127">
        <v>44256</v>
      </c>
      <c r="R3121" s="29">
        <v>453200</v>
      </c>
      <c r="S3121" s="29">
        <v>580100</v>
      </c>
      <c r="T3121" s="30"/>
      <c r="U3121" s="30">
        <f>+U3119*12.5%</f>
        <v>4683066.6500000004</v>
      </c>
      <c r="V3121" s="150" t="s">
        <v>11</v>
      </c>
    </row>
    <row r="3122" spans="1:24" s="31" customFormat="1" ht="15" hidden="1" x14ac:dyDescent="0.25">
      <c r="B3122" s="89">
        <v>44323.083333333336</v>
      </c>
      <c r="C3122" s="92" t="s">
        <v>2944</v>
      </c>
      <c r="D3122" s="23"/>
      <c r="E3122" s="91">
        <v>9064000</v>
      </c>
      <c r="F3122" s="93"/>
      <c r="G3122" s="93">
        <f t="shared" si="596"/>
        <v>9064000</v>
      </c>
      <c r="H3122" s="94"/>
      <c r="I3122" s="94">
        <v>288318.49</v>
      </c>
      <c r="J3122" s="94">
        <v>77576.600000000006</v>
      </c>
      <c r="K3122" s="25">
        <f t="shared" si="597"/>
        <v>8698104.9100000001</v>
      </c>
      <c r="L3122" s="95">
        <f t="shared" si="598"/>
        <v>82814134</v>
      </c>
      <c r="M3122" s="20">
        <v>9064000</v>
      </c>
      <c r="N3122" s="20">
        <f>+G3122-M3122</f>
        <v>0</v>
      </c>
      <c r="O3122" s="130"/>
      <c r="P3122" s="126">
        <v>9417785941</v>
      </c>
      <c r="Q3122" s="127">
        <v>44287</v>
      </c>
      <c r="R3122" s="29">
        <v>453200</v>
      </c>
      <c r="S3122" s="29">
        <v>580100</v>
      </c>
      <c r="T3122" s="30"/>
      <c r="U3122" s="30">
        <f>+U3119*16%</f>
        <v>5994325.3120000008</v>
      </c>
      <c r="V3122" s="151" t="s">
        <v>12</v>
      </c>
    </row>
    <row r="3123" spans="1:24" s="31" customFormat="1" ht="15" hidden="1" x14ac:dyDescent="0.25">
      <c r="B3123" s="89">
        <v>44349.083333333336</v>
      </c>
      <c r="C3123" s="92" t="s">
        <v>2945</v>
      </c>
      <c r="D3123" s="23"/>
      <c r="E3123" s="91">
        <v>9064000</v>
      </c>
      <c r="F3123" s="93"/>
      <c r="G3123" s="93">
        <f t="shared" si="596"/>
        <v>9064000</v>
      </c>
      <c r="H3123" s="94"/>
      <c r="I3123" s="94">
        <v>288318.49</v>
      </c>
      <c r="J3123" s="94">
        <v>77576.600000000006</v>
      </c>
      <c r="K3123" s="25">
        <f t="shared" si="597"/>
        <v>8698104.9100000001</v>
      </c>
      <c r="L3123" s="95">
        <f t="shared" si="598"/>
        <v>73750134</v>
      </c>
      <c r="M3123" s="20"/>
      <c r="N3123" s="20"/>
      <c r="O3123" s="130"/>
      <c r="P3123" s="126">
        <v>9420324346</v>
      </c>
      <c r="Q3123" s="127">
        <v>44317</v>
      </c>
      <c r="R3123" s="29">
        <v>453200</v>
      </c>
      <c r="S3123" s="29">
        <v>580100</v>
      </c>
      <c r="T3123" s="30"/>
      <c r="U3123" s="30"/>
      <c r="V3123" s="146"/>
    </row>
    <row r="3124" spans="1:24" s="31" customFormat="1" ht="15" hidden="1" x14ac:dyDescent="0.25">
      <c r="B3124" s="89">
        <v>44384.083333333336</v>
      </c>
      <c r="C3124" s="92" t="s">
        <v>2946</v>
      </c>
      <c r="D3124" s="23"/>
      <c r="E3124" s="91">
        <v>9064000</v>
      </c>
      <c r="F3124" s="93"/>
      <c r="G3124" s="93">
        <f t="shared" si="596"/>
        <v>9064000</v>
      </c>
      <c r="H3124" s="94"/>
      <c r="I3124" s="94">
        <v>288318.49</v>
      </c>
      <c r="J3124" s="94">
        <v>77576.600000000006</v>
      </c>
      <c r="K3124" s="25">
        <f t="shared" si="597"/>
        <v>8698104.9100000001</v>
      </c>
      <c r="L3124" s="95">
        <f t="shared" si="598"/>
        <v>64686134</v>
      </c>
      <c r="M3124" s="20"/>
      <c r="N3124" s="20"/>
      <c r="O3124" s="130"/>
      <c r="P3124" s="126">
        <v>9421465072</v>
      </c>
      <c r="Q3124" s="127">
        <v>44348</v>
      </c>
      <c r="R3124" s="29">
        <v>453200</v>
      </c>
      <c r="S3124" s="29">
        <v>580100</v>
      </c>
      <c r="T3124" s="30"/>
      <c r="U3124" s="30"/>
      <c r="V3124" s="146"/>
    </row>
    <row r="3125" spans="1:24" s="31" customFormat="1" ht="15" hidden="1" x14ac:dyDescent="0.25">
      <c r="B3125" s="89">
        <v>44411.083333333336</v>
      </c>
      <c r="C3125" s="92" t="s">
        <v>2947</v>
      </c>
      <c r="D3125" s="23"/>
      <c r="E3125" s="91">
        <v>9064000</v>
      </c>
      <c r="F3125" s="93"/>
      <c r="G3125" s="93">
        <f t="shared" si="596"/>
        <v>9064000</v>
      </c>
      <c r="H3125" s="94"/>
      <c r="I3125" s="94">
        <v>288318.49</v>
      </c>
      <c r="J3125" s="94">
        <v>77576.600000000006</v>
      </c>
      <c r="K3125" s="25">
        <f t="shared" si="597"/>
        <v>8698104.9100000001</v>
      </c>
      <c r="L3125" s="95">
        <f t="shared" si="598"/>
        <v>55622134</v>
      </c>
      <c r="M3125" s="20"/>
      <c r="N3125" s="20"/>
      <c r="O3125" s="130"/>
      <c r="P3125" s="126">
        <v>9422733657</v>
      </c>
      <c r="Q3125" s="127">
        <v>44378</v>
      </c>
      <c r="R3125" s="29">
        <v>453200</v>
      </c>
      <c r="S3125" s="29">
        <v>580100</v>
      </c>
      <c r="T3125" s="30"/>
      <c r="U3125" s="30"/>
      <c r="V3125" s="146"/>
      <c r="W3125" s="31">
        <v>9064000</v>
      </c>
      <c r="X3125" s="131">
        <f>+E3125-W3125</f>
        <v>0</v>
      </c>
    </row>
    <row r="3126" spans="1:24" s="31" customFormat="1" ht="15" hidden="1" x14ac:dyDescent="0.25">
      <c r="B3126" s="89">
        <v>44442.083333333336</v>
      </c>
      <c r="C3126" s="92" t="s">
        <v>2948</v>
      </c>
      <c r="D3126" s="23"/>
      <c r="E3126" s="91">
        <v>9064000</v>
      </c>
      <c r="F3126" s="93"/>
      <c r="G3126" s="93">
        <f t="shared" si="596"/>
        <v>9064000</v>
      </c>
      <c r="H3126" s="94"/>
      <c r="I3126" s="94">
        <v>288318.49</v>
      </c>
      <c r="J3126" s="94">
        <v>77576.600000000006</v>
      </c>
      <c r="K3126" s="25">
        <f t="shared" si="597"/>
        <v>8698104.9100000001</v>
      </c>
      <c r="L3126" s="95">
        <f t="shared" si="598"/>
        <v>46558134</v>
      </c>
      <c r="M3126" s="20"/>
      <c r="N3126" s="20"/>
      <c r="O3126" s="130"/>
      <c r="P3126" s="126">
        <v>9423950760</v>
      </c>
      <c r="Q3126" s="127">
        <v>44409</v>
      </c>
      <c r="R3126" s="29">
        <v>453200</v>
      </c>
      <c r="S3126" s="29">
        <v>580100</v>
      </c>
      <c r="T3126" s="30"/>
      <c r="U3126" s="30">
        <f>+U3121-R3135</f>
        <v>-413833.34999999963</v>
      </c>
      <c r="V3126" s="146"/>
      <c r="X3126" s="131"/>
    </row>
    <row r="3127" spans="1:24" s="31" customFormat="1" ht="15" hidden="1" x14ac:dyDescent="0.25">
      <c r="B3127" s="89">
        <v>44467.083333333336</v>
      </c>
      <c r="C3127" s="92" t="s">
        <v>2949</v>
      </c>
      <c r="D3127" s="23"/>
      <c r="E3127" s="91">
        <v>4163105</v>
      </c>
      <c r="F3127" s="93"/>
      <c r="G3127" s="93">
        <f t="shared" si="596"/>
        <v>4163105</v>
      </c>
      <c r="H3127" s="94"/>
      <c r="I3127" s="94">
        <v>761115.02</v>
      </c>
      <c r="J3127" s="94">
        <v>33145.769999999997</v>
      </c>
      <c r="K3127" s="25">
        <f t="shared" si="597"/>
        <v>3368844.21</v>
      </c>
      <c r="L3127" s="95">
        <f t="shared" si="598"/>
        <v>42395029</v>
      </c>
      <c r="M3127" s="20"/>
      <c r="N3127" s="20"/>
      <c r="O3127" s="130"/>
      <c r="P3127" s="143">
        <v>9416435658</v>
      </c>
      <c r="Q3127" s="144">
        <v>44228</v>
      </c>
      <c r="R3127" s="145">
        <v>453200</v>
      </c>
      <c r="S3127" s="145">
        <v>580100</v>
      </c>
      <c r="T3127" s="30"/>
      <c r="U3127" s="30">
        <f>+U3122-S3135</f>
        <v>-564874.68799999915</v>
      </c>
      <c r="V3127" s="146"/>
      <c r="X3127" s="131"/>
    </row>
    <row r="3128" spans="1:24" s="31" customFormat="1" ht="15" hidden="1" x14ac:dyDescent="0.25">
      <c r="B3128" s="89">
        <v>44480.083333333336</v>
      </c>
      <c r="C3128" s="92" t="s">
        <v>2950</v>
      </c>
      <c r="D3128" s="23"/>
      <c r="E3128" s="91">
        <v>9064000</v>
      </c>
      <c r="F3128" s="93"/>
      <c r="G3128" s="93">
        <f t="shared" si="596"/>
        <v>9064000</v>
      </c>
      <c r="H3128" s="94"/>
      <c r="I3128" s="94">
        <v>288318.49</v>
      </c>
      <c r="J3128" s="94">
        <v>77576.600000000006</v>
      </c>
      <c r="K3128" s="25">
        <f t="shared" si="597"/>
        <v>8698104.9100000001</v>
      </c>
      <c r="L3128" s="95">
        <f t="shared" si="598"/>
        <v>33331029</v>
      </c>
      <c r="M3128" s="20"/>
      <c r="N3128" s="20"/>
      <c r="O3128" s="130"/>
      <c r="P3128" s="126">
        <v>9425209421</v>
      </c>
      <c r="Q3128" s="127">
        <v>44440</v>
      </c>
      <c r="R3128" s="29">
        <v>453200</v>
      </c>
      <c r="S3128" s="29">
        <v>580100</v>
      </c>
      <c r="T3128" s="30"/>
      <c r="U3128" s="30"/>
      <c r="V3128" s="146"/>
      <c r="X3128" s="131"/>
    </row>
    <row r="3129" spans="1:24" s="31" customFormat="1" ht="15" hidden="1" x14ac:dyDescent="0.25">
      <c r="B3129" s="89">
        <v>44508.125</v>
      </c>
      <c r="C3129" s="92" t="s">
        <v>2951</v>
      </c>
      <c r="D3129" s="23"/>
      <c r="E3129" s="91">
        <v>9064000</v>
      </c>
      <c r="F3129" s="93"/>
      <c r="G3129" s="93">
        <f t="shared" si="596"/>
        <v>9064000</v>
      </c>
      <c r="H3129" s="94"/>
      <c r="I3129" s="94">
        <v>288318.49</v>
      </c>
      <c r="J3129" s="94">
        <v>77576.600000000006</v>
      </c>
      <c r="K3129" s="25">
        <f t="shared" si="597"/>
        <v>8698104.9100000001</v>
      </c>
      <c r="L3129" s="95">
        <f t="shared" si="598"/>
        <v>24267029</v>
      </c>
      <c r="M3129" s="20"/>
      <c r="N3129" s="20"/>
      <c r="O3129" s="130"/>
      <c r="P3129" s="126">
        <v>9426309928</v>
      </c>
      <c r="Q3129" s="127">
        <v>44470</v>
      </c>
      <c r="R3129" s="29">
        <v>453200</v>
      </c>
      <c r="S3129" s="29">
        <v>580100</v>
      </c>
      <c r="T3129" s="30"/>
      <c r="U3129" s="30"/>
      <c r="V3129" s="146"/>
      <c r="X3129" s="131"/>
    </row>
    <row r="3130" spans="1:24" s="31" customFormat="1" ht="15" hidden="1" x14ac:dyDescent="0.25">
      <c r="B3130" s="89">
        <v>44505.083333333336</v>
      </c>
      <c r="C3130" s="92" t="s">
        <v>2952</v>
      </c>
      <c r="D3130" s="23"/>
      <c r="E3130" s="91">
        <v>410920</v>
      </c>
      <c r="F3130" s="93"/>
      <c r="G3130" s="93">
        <f t="shared" si="596"/>
        <v>410920</v>
      </c>
      <c r="H3130" s="94"/>
      <c r="I3130" s="94"/>
      <c r="J3130" s="94">
        <v>821.84</v>
      </c>
      <c r="K3130" s="25">
        <f t="shared" si="597"/>
        <v>410098.16</v>
      </c>
      <c r="L3130" s="95">
        <f t="shared" si="598"/>
        <v>23856109</v>
      </c>
      <c r="M3130" s="20"/>
      <c r="N3130" s="20"/>
      <c r="O3130" s="130"/>
      <c r="P3130" s="126"/>
      <c r="Q3130" s="127"/>
      <c r="R3130" s="29"/>
      <c r="S3130" s="29"/>
      <c r="T3130" s="30"/>
      <c r="U3130" s="30"/>
      <c r="V3130" s="146"/>
      <c r="X3130" s="131"/>
    </row>
    <row r="3131" spans="1:24" s="31" customFormat="1" ht="15" hidden="1" x14ac:dyDescent="0.25">
      <c r="B3131" s="89">
        <v>44509.125</v>
      </c>
      <c r="C3131" s="92" t="s">
        <v>2953</v>
      </c>
      <c r="D3131" s="23"/>
      <c r="E3131" s="91">
        <v>2724559</v>
      </c>
      <c r="F3131" s="93"/>
      <c r="G3131" s="93">
        <f t="shared" si="596"/>
        <v>2724559</v>
      </c>
      <c r="H3131" s="94"/>
      <c r="I3131" s="94"/>
      <c r="J3131" s="94">
        <v>10069.14</v>
      </c>
      <c r="K3131" s="25">
        <f t="shared" si="597"/>
        <v>2714489.86</v>
      </c>
      <c r="L3131" s="95">
        <f t="shared" si="598"/>
        <v>21131550</v>
      </c>
      <c r="M3131" s="20"/>
      <c r="N3131" s="20"/>
      <c r="O3131" s="130"/>
      <c r="P3131" s="126"/>
      <c r="Q3131" s="127"/>
      <c r="R3131" s="29"/>
      <c r="S3131" s="29"/>
      <c r="T3131" s="30"/>
      <c r="U3131" s="30"/>
      <c r="V3131" s="146"/>
      <c r="X3131" s="131"/>
    </row>
    <row r="3132" spans="1:24" s="31" customFormat="1" ht="15" hidden="1" x14ac:dyDescent="0.25">
      <c r="B3132" s="89">
        <v>44553.125</v>
      </c>
      <c r="C3132" s="92" t="s">
        <v>2954</v>
      </c>
      <c r="D3132" s="23"/>
      <c r="E3132" s="91">
        <v>2538324</v>
      </c>
      <c r="F3132" s="93"/>
      <c r="G3132" s="93">
        <f t="shared" si="596"/>
        <v>2538324</v>
      </c>
      <c r="H3132" s="94"/>
      <c r="I3132" s="94"/>
      <c r="J3132" s="94">
        <v>16499</v>
      </c>
      <c r="K3132" s="25">
        <f t="shared" si="597"/>
        <v>2521825</v>
      </c>
      <c r="L3132" s="95">
        <f t="shared" si="598"/>
        <v>18593226</v>
      </c>
      <c r="M3132" s="20"/>
      <c r="N3132" s="20"/>
      <c r="O3132" s="130"/>
      <c r="P3132" s="126">
        <v>9427586770</v>
      </c>
      <c r="Q3132" s="127">
        <v>44501</v>
      </c>
      <c r="R3132" s="29">
        <v>453200</v>
      </c>
      <c r="S3132" s="29">
        <v>580100</v>
      </c>
      <c r="T3132" s="30"/>
      <c r="U3132" s="30"/>
      <c r="V3132" s="146"/>
      <c r="X3132" s="131"/>
    </row>
    <row r="3133" spans="1:24" s="31" customFormat="1" ht="15" hidden="1" x14ac:dyDescent="0.25">
      <c r="B3133" s="89">
        <v>44559.125</v>
      </c>
      <c r="C3133" s="92" t="s">
        <v>2955</v>
      </c>
      <c r="D3133" s="23"/>
      <c r="E3133" s="91">
        <v>9064000</v>
      </c>
      <c r="F3133" s="93"/>
      <c r="G3133" s="93">
        <f t="shared" si="596"/>
        <v>9064000</v>
      </c>
      <c r="H3133" s="94"/>
      <c r="I3133" s="94">
        <v>288148.82</v>
      </c>
      <c r="J3133" s="94">
        <v>77576.600000000006</v>
      </c>
      <c r="K3133" s="25">
        <f t="shared" si="597"/>
        <v>8698274.5800000001</v>
      </c>
      <c r="L3133" s="95">
        <f t="shared" si="598"/>
        <v>9529226</v>
      </c>
      <c r="M3133" s="20"/>
      <c r="N3133" s="20"/>
      <c r="O3133" s="130"/>
      <c r="P3133" s="143"/>
      <c r="Q3133" s="144"/>
      <c r="R3133" s="145"/>
      <c r="S3133" s="145"/>
      <c r="T3133" s="30"/>
      <c r="U3133" s="30"/>
      <c r="V3133" s="146"/>
      <c r="X3133" s="131"/>
    </row>
    <row r="3134" spans="1:24" s="31" customFormat="1" ht="15" hidden="1" x14ac:dyDescent="0.25">
      <c r="B3134" s="89"/>
      <c r="C3134" s="92"/>
      <c r="D3134" s="23"/>
      <c r="E3134" s="91"/>
      <c r="F3134" s="93"/>
      <c r="G3134" s="93"/>
      <c r="H3134" s="94"/>
      <c r="I3134" s="94"/>
      <c r="J3134" s="94"/>
      <c r="K3134" s="25"/>
      <c r="L3134" s="95"/>
      <c r="M3134" s="20"/>
      <c r="N3134" s="20"/>
      <c r="O3134" s="130"/>
      <c r="P3134" s="143"/>
      <c r="Q3134" s="144"/>
      <c r="R3134" s="145"/>
      <c r="S3134" s="145"/>
      <c r="T3134" s="30"/>
      <c r="U3134" s="30"/>
      <c r="V3134" s="146"/>
      <c r="X3134" s="131"/>
    </row>
    <row r="3135" spans="1:24" s="31" customFormat="1" ht="15" hidden="1" x14ac:dyDescent="0.25">
      <c r="B3135" s="89"/>
      <c r="C3135" s="92"/>
      <c r="D3135" s="23"/>
      <c r="E3135" s="91"/>
      <c r="F3135" s="93"/>
      <c r="G3135" s="93"/>
      <c r="H3135" s="94"/>
      <c r="I3135" s="94"/>
      <c r="J3135" s="94"/>
      <c r="K3135" s="25"/>
      <c r="L3135" s="95"/>
      <c r="M3135" s="20"/>
      <c r="N3135" s="20"/>
      <c r="O3135" s="130"/>
      <c r="P3135" s="143"/>
      <c r="Q3135" s="144"/>
      <c r="R3135" s="152">
        <f>SUM(R3119:R3134)</f>
        <v>5096900</v>
      </c>
      <c r="S3135" s="123">
        <f>SUM(S3119:S3134)</f>
        <v>6559200</v>
      </c>
      <c r="T3135" s="30"/>
      <c r="U3135" s="30"/>
      <c r="V3135" s="146"/>
      <c r="X3135" s="131"/>
    </row>
    <row r="3136" spans="1:24" ht="15.75" hidden="1" customHeight="1" x14ac:dyDescent="0.25">
      <c r="A3136" s="21">
        <v>802021</v>
      </c>
      <c r="B3136" s="139" t="s">
        <v>2956</v>
      </c>
      <c r="C3136" s="140"/>
      <c r="D3136" s="141">
        <v>76099833</v>
      </c>
      <c r="E3136" s="141">
        <f>+D3136</f>
        <v>76099833</v>
      </c>
      <c r="F3136" s="141"/>
      <c r="G3136" s="141"/>
      <c r="H3136" s="141"/>
      <c r="I3136" s="141"/>
      <c r="J3136" s="141"/>
      <c r="K3136" s="141"/>
      <c r="L3136" s="141">
        <f>+D3136</f>
        <v>76099833</v>
      </c>
      <c r="M3136" s="142"/>
      <c r="N3136" s="142"/>
      <c r="P3136" s="126"/>
      <c r="Q3136" s="126"/>
      <c r="R3136" s="29"/>
      <c r="S3136" s="29"/>
      <c r="U3136" s="3"/>
    </row>
    <row r="3137" spans="2:24" s="31" customFormat="1" ht="15" hidden="1" x14ac:dyDescent="0.25">
      <c r="B3137" s="166">
        <v>44238</v>
      </c>
      <c r="C3137" s="167" t="s">
        <v>2957</v>
      </c>
      <c r="D3137" s="23"/>
      <c r="E3137" s="91">
        <v>130728</v>
      </c>
      <c r="F3137" s="93"/>
      <c r="G3137" s="93">
        <v>130728</v>
      </c>
      <c r="H3137" s="94"/>
      <c r="I3137" s="94"/>
      <c r="J3137" s="94"/>
      <c r="K3137" s="25">
        <f t="shared" ref="K3137:K3155" si="599">+G3137-H3137-I3137-J3137</f>
        <v>130728</v>
      </c>
      <c r="L3137" s="95">
        <f>+L3136-G3137</f>
        <v>75969105</v>
      </c>
      <c r="M3137" s="96"/>
      <c r="N3137" s="96"/>
      <c r="O3137" s="149">
        <f>+VLOOKUP(A3136,'[1]ANEXO 7 - PPTO VIG 2021'!$H$8:$AB$160,21,)-L3155</f>
        <v>-892667</v>
      </c>
      <c r="P3137" s="249">
        <v>9415713614</v>
      </c>
      <c r="Q3137" s="251">
        <v>44197</v>
      </c>
      <c r="R3137" s="253">
        <v>185000</v>
      </c>
      <c r="S3137" s="253">
        <v>236800</v>
      </c>
      <c r="T3137" s="30">
        <f>+L3136-892667</f>
        <v>75207166</v>
      </c>
      <c r="U3137" s="30">
        <f>+T3137*40%</f>
        <v>30082866.400000002</v>
      </c>
      <c r="V3137" s="146"/>
    </row>
    <row r="3138" spans="2:24" s="31" customFormat="1" ht="15" hidden="1" x14ac:dyDescent="0.25">
      <c r="B3138" s="166">
        <v>44238</v>
      </c>
      <c r="C3138" s="167" t="s">
        <v>2957</v>
      </c>
      <c r="D3138" s="23"/>
      <c r="E3138" s="91">
        <v>1418067.8</v>
      </c>
      <c r="F3138" s="93"/>
      <c r="G3138" s="93">
        <v>1431438</v>
      </c>
      <c r="H3138" s="94"/>
      <c r="I3138" s="94"/>
      <c r="J3138" s="94">
        <v>13370.2</v>
      </c>
      <c r="K3138" s="25">
        <f t="shared" si="599"/>
        <v>1418067.8</v>
      </c>
      <c r="L3138" s="95">
        <f t="shared" ref="L3138:L3155" si="600">+L3137-G3138</f>
        <v>74537667</v>
      </c>
      <c r="M3138" s="96"/>
      <c r="N3138" s="96"/>
      <c r="O3138" s="130"/>
      <c r="P3138" s="250"/>
      <c r="Q3138" s="252"/>
      <c r="R3138" s="254"/>
      <c r="S3138" s="254"/>
      <c r="T3138" s="30"/>
      <c r="U3138" s="30"/>
      <c r="V3138" s="146"/>
    </row>
    <row r="3139" spans="2:24" s="31" customFormat="1" ht="15" hidden="1" x14ac:dyDescent="0.25">
      <c r="B3139" s="166">
        <v>44259.125</v>
      </c>
      <c r="C3139" s="167" t="s">
        <v>2958</v>
      </c>
      <c r="D3139" s="23"/>
      <c r="E3139" s="91">
        <v>1157295</v>
      </c>
      <c r="F3139" s="93"/>
      <c r="G3139" s="93">
        <v>1157295</v>
      </c>
      <c r="H3139" s="94"/>
      <c r="I3139" s="94"/>
      <c r="J3139" s="94"/>
      <c r="K3139" s="25">
        <f t="shared" si="599"/>
        <v>1157295</v>
      </c>
      <c r="L3139" s="95">
        <f t="shared" si="600"/>
        <v>73380372</v>
      </c>
      <c r="M3139" s="96"/>
      <c r="N3139" s="96"/>
      <c r="O3139" s="130"/>
      <c r="P3139" s="249">
        <v>9416144165</v>
      </c>
      <c r="Q3139" s="251">
        <v>44228</v>
      </c>
      <c r="R3139" s="253">
        <v>335000</v>
      </c>
      <c r="S3139" s="253">
        <v>428800</v>
      </c>
      <c r="T3139" s="30"/>
      <c r="U3139" s="30">
        <f>+U3137*12.5%</f>
        <v>3760358.3000000003</v>
      </c>
      <c r="V3139" s="150" t="s">
        <v>11</v>
      </c>
    </row>
    <row r="3140" spans="2:24" s="31" customFormat="1" ht="15" hidden="1" x14ac:dyDescent="0.25">
      <c r="B3140" s="166">
        <v>44259.125</v>
      </c>
      <c r="C3140" s="167" t="s">
        <v>2958</v>
      </c>
      <c r="D3140" s="23"/>
      <c r="E3140" s="91">
        <v>5537705</v>
      </c>
      <c r="F3140" s="93"/>
      <c r="G3140" s="93">
        <f t="shared" ref="G3140:G3147" si="601">+E3140</f>
        <v>5537705</v>
      </c>
      <c r="H3140" s="94"/>
      <c r="I3140" s="94">
        <v>85208.81</v>
      </c>
      <c r="J3140" s="25">
        <v>57300.9</v>
      </c>
      <c r="K3140" s="18">
        <f t="shared" si="599"/>
        <v>5395195.29</v>
      </c>
      <c r="L3140" s="95">
        <f t="shared" si="600"/>
        <v>67842667</v>
      </c>
      <c r="M3140" s="96"/>
      <c r="N3140" s="96"/>
      <c r="O3140" s="130"/>
      <c r="P3140" s="250"/>
      <c r="Q3140" s="252"/>
      <c r="R3140" s="254"/>
      <c r="S3140" s="254"/>
      <c r="T3140" s="30"/>
      <c r="U3140" s="30">
        <f>+U3137*16%</f>
        <v>4813258.6240000008</v>
      </c>
      <c r="V3140" s="151" t="s">
        <v>12</v>
      </c>
    </row>
    <row r="3141" spans="2:24" s="31" customFormat="1" ht="15" hidden="1" x14ac:dyDescent="0.25">
      <c r="B3141" s="135">
        <v>44294.083333333336</v>
      </c>
      <c r="C3141" s="134" t="s">
        <v>2959</v>
      </c>
      <c r="D3141" s="23"/>
      <c r="E3141" s="91">
        <v>1157295</v>
      </c>
      <c r="F3141" s="93"/>
      <c r="G3141" s="93">
        <v>1157295</v>
      </c>
      <c r="H3141" s="94"/>
      <c r="I3141" s="91"/>
      <c r="J3141" s="91"/>
      <c r="K3141" s="18">
        <f t="shared" si="599"/>
        <v>1157295</v>
      </c>
      <c r="L3141" s="95">
        <f t="shared" si="600"/>
        <v>66685372</v>
      </c>
      <c r="M3141" s="96"/>
      <c r="N3141" s="96"/>
      <c r="O3141" s="130"/>
      <c r="P3141" s="249">
        <v>9417147141</v>
      </c>
      <c r="Q3141" s="251">
        <v>44256</v>
      </c>
      <c r="R3141" s="253">
        <v>335000</v>
      </c>
      <c r="S3141" s="253">
        <v>428800</v>
      </c>
      <c r="T3141" s="30"/>
      <c r="U3141" s="30"/>
      <c r="V3141" s="146"/>
    </row>
    <row r="3142" spans="2:24" s="31" customFormat="1" ht="15" hidden="1" x14ac:dyDescent="0.25">
      <c r="B3142" s="135">
        <v>44294.083333333336</v>
      </c>
      <c r="C3142" s="134" t="s">
        <v>2959</v>
      </c>
      <c r="D3142" s="23"/>
      <c r="E3142" s="91">
        <v>5537705</v>
      </c>
      <c r="F3142" s="93"/>
      <c r="G3142" s="93">
        <f t="shared" si="601"/>
        <v>5537705</v>
      </c>
      <c r="H3142" s="94"/>
      <c r="I3142" s="91">
        <v>85208.81</v>
      </c>
      <c r="J3142" s="91">
        <v>57300.9</v>
      </c>
      <c r="K3142" s="25">
        <f t="shared" si="599"/>
        <v>5395195.29</v>
      </c>
      <c r="L3142" s="95">
        <f t="shared" si="600"/>
        <v>61147667</v>
      </c>
      <c r="M3142" s="96"/>
      <c r="N3142" s="96"/>
      <c r="O3142" s="130"/>
      <c r="P3142" s="250"/>
      <c r="Q3142" s="252"/>
      <c r="R3142" s="254"/>
      <c r="S3142" s="254"/>
      <c r="T3142" s="30"/>
      <c r="U3142" s="30"/>
      <c r="V3142" s="146"/>
    </row>
    <row r="3143" spans="2:24" s="31" customFormat="1" ht="15" hidden="1" x14ac:dyDescent="0.25">
      <c r="B3143" s="135">
        <v>44321.083333333336</v>
      </c>
      <c r="C3143" s="134" t="s">
        <v>2960</v>
      </c>
      <c r="D3143" s="23"/>
      <c r="E3143" s="91">
        <v>1157295</v>
      </c>
      <c r="F3143" s="93"/>
      <c r="G3143" s="93">
        <v>1157295</v>
      </c>
      <c r="H3143" s="94"/>
      <c r="I3143" s="94"/>
      <c r="J3143" s="94"/>
      <c r="K3143" s="25">
        <f t="shared" si="599"/>
        <v>1157295</v>
      </c>
      <c r="L3143" s="95">
        <f t="shared" si="600"/>
        <v>59990372</v>
      </c>
      <c r="M3143" s="20">
        <v>1157295</v>
      </c>
      <c r="N3143" s="20">
        <f>+G3143-M3143</f>
        <v>0</v>
      </c>
      <c r="O3143" s="130"/>
      <c r="P3143" s="255">
        <v>9417147141</v>
      </c>
      <c r="Q3143" s="257">
        <v>44256</v>
      </c>
      <c r="R3143" s="259">
        <v>0</v>
      </c>
      <c r="S3143" s="259">
        <v>0</v>
      </c>
      <c r="T3143" s="30"/>
      <c r="U3143" s="30"/>
      <c r="V3143" s="146"/>
    </row>
    <row r="3144" spans="2:24" s="31" customFormat="1" ht="15" hidden="1" x14ac:dyDescent="0.25">
      <c r="B3144" s="135">
        <v>44321.083333333336</v>
      </c>
      <c r="C3144" s="134" t="s">
        <v>2960</v>
      </c>
      <c r="D3144" s="23"/>
      <c r="E3144" s="91">
        <v>5537705</v>
      </c>
      <c r="F3144" s="93"/>
      <c r="G3144" s="93">
        <f t="shared" si="601"/>
        <v>5537705</v>
      </c>
      <c r="H3144" s="94"/>
      <c r="I3144" s="94">
        <v>85208.81</v>
      </c>
      <c r="J3144" s="94">
        <v>57300.9</v>
      </c>
      <c r="K3144" s="25">
        <f t="shared" si="599"/>
        <v>5395195.29</v>
      </c>
      <c r="L3144" s="95">
        <f t="shared" si="600"/>
        <v>54452667</v>
      </c>
      <c r="M3144" s="20">
        <v>1157295</v>
      </c>
      <c r="N3144" s="20">
        <f>+G3144-M3144</f>
        <v>4380410</v>
      </c>
      <c r="O3144" s="130"/>
      <c r="P3144" s="256"/>
      <c r="Q3144" s="258"/>
      <c r="R3144" s="260"/>
      <c r="S3144" s="260"/>
      <c r="T3144" s="30"/>
      <c r="U3144" s="30"/>
      <c r="V3144" s="146"/>
    </row>
    <row r="3145" spans="2:24" s="31" customFormat="1" ht="15" hidden="1" x14ac:dyDescent="0.25">
      <c r="B3145" s="135">
        <v>44349.083333333336</v>
      </c>
      <c r="C3145" s="134" t="s">
        <v>2961</v>
      </c>
      <c r="D3145" s="23"/>
      <c r="E3145" s="91">
        <v>5537705</v>
      </c>
      <c r="F3145" s="93"/>
      <c r="G3145" s="93">
        <f t="shared" si="601"/>
        <v>5537705</v>
      </c>
      <c r="H3145" s="94"/>
      <c r="I3145" s="94">
        <v>85208.81</v>
      </c>
      <c r="J3145" s="94">
        <v>57300.9</v>
      </c>
      <c r="K3145" s="25">
        <f t="shared" si="599"/>
        <v>5395195.29</v>
      </c>
      <c r="L3145" s="95">
        <f t="shared" si="600"/>
        <v>48914962</v>
      </c>
      <c r="M3145" s="20"/>
      <c r="N3145" s="20"/>
      <c r="O3145" s="130"/>
      <c r="P3145" s="249">
        <v>9418251457</v>
      </c>
      <c r="Q3145" s="251">
        <v>44287</v>
      </c>
      <c r="R3145" s="253">
        <v>335000</v>
      </c>
      <c r="S3145" s="253">
        <v>428800</v>
      </c>
      <c r="T3145" s="30"/>
      <c r="U3145" s="30"/>
      <c r="V3145" s="146"/>
    </row>
    <row r="3146" spans="2:24" s="31" customFormat="1" ht="15" hidden="1" x14ac:dyDescent="0.25">
      <c r="B3146" s="135">
        <v>44350.083333333336</v>
      </c>
      <c r="C3146" s="134" t="s">
        <v>2961</v>
      </c>
      <c r="D3146" s="23"/>
      <c r="E3146" s="91">
        <v>1157295</v>
      </c>
      <c r="F3146" s="93"/>
      <c r="G3146" s="93">
        <v>1157295</v>
      </c>
      <c r="H3146" s="94"/>
      <c r="I3146" s="94"/>
      <c r="J3146" s="94"/>
      <c r="K3146" s="25">
        <f t="shared" si="599"/>
        <v>1157295</v>
      </c>
      <c r="L3146" s="95">
        <f t="shared" si="600"/>
        <v>47757667</v>
      </c>
      <c r="M3146" s="20"/>
      <c r="N3146" s="20"/>
      <c r="O3146" s="130"/>
      <c r="P3146" s="250"/>
      <c r="Q3146" s="252"/>
      <c r="R3146" s="254"/>
      <c r="S3146" s="254"/>
      <c r="T3146" s="30"/>
      <c r="U3146" s="30"/>
      <c r="V3146" s="146"/>
    </row>
    <row r="3147" spans="2:24" s="31" customFormat="1" ht="15" hidden="1" x14ac:dyDescent="0.25">
      <c r="B3147" s="135">
        <v>44379.083333333336</v>
      </c>
      <c r="C3147" s="134" t="s">
        <v>2962</v>
      </c>
      <c r="D3147" s="23"/>
      <c r="E3147" s="91">
        <v>5537705</v>
      </c>
      <c r="F3147" s="93"/>
      <c r="G3147" s="93">
        <f t="shared" si="601"/>
        <v>5537705</v>
      </c>
      <c r="H3147" s="94"/>
      <c r="I3147" s="94">
        <v>85208.81</v>
      </c>
      <c r="J3147" s="94">
        <v>57300.9</v>
      </c>
      <c r="K3147" s="25">
        <f t="shared" si="599"/>
        <v>5395195.29</v>
      </c>
      <c r="L3147" s="95">
        <f t="shared" si="600"/>
        <v>42219962</v>
      </c>
      <c r="M3147" s="20"/>
      <c r="N3147" s="20"/>
      <c r="O3147" s="130"/>
      <c r="P3147" s="249">
        <v>9421362526</v>
      </c>
      <c r="Q3147" s="251">
        <v>44317</v>
      </c>
      <c r="R3147" s="253">
        <v>335000</v>
      </c>
      <c r="S3147" s="253">
        <v>428800</v>
      </c>
      <c r="T3147" s="30"/>
      <c r="U3147" s="30"/>
      <c r="V3147" s="146"/>
    </row>
    <row r="3148" spans="2:24" s="31" customFormat="1" ht="15" hidden="1" x14ac:dyDescent="0.25">
      <c r="B3148" s="135">
        <v>44379.083333333336</v>
      </c>
      <c r="C3148" s="134" t="s">
        <v>2963</v>
      </c>
      <c r="D3148" s="23"/>
      <c r="E3148" s="91">
        <v>1157295</v>
      </c>
      <c r="F3148" s="93"/>
      <c r="G3148" s="93">
        <v>1157295</v>
      </c>
      <c r="H3148" s="94"/>
      <c r="I3148" s="94"/>
      <c r="J3148" s="94"/>
      <c r="K3148" s="25">
        <f t="shared" si="599"/>
        <v>1157295</v>
      </c>
      <c r="L3148" s="95">
        <f t="shared" si="600"/>
        <v>41062667</v>
      </c>
      <c r="M3148" s="20"/>
      <c r="N3148" s="20"/>
      <c r="O3148" s="130"/>
      <c r="P3148" s="250"/>
      <c r="Q3148" s="252"/>
      <c r="R3148" s="254"/>
      <c r="S3148" s="254"/>
      <c r="T3148" s="30"/>
      <c r="U3148" s="30"/>
      <c r="V3148" s="146"/>
    </row>
    <row r="3149" spans="2:24" s="31" customFormat="1" ht="15" hidden="1" x14ac:dyDescent="0.25">
      <c r="B3149" s="135">
        <v>44419.083333333336</v>
      </c>
      <c r="C3149" s="134" t="s">
        <v>2964</v>
      </c>
      <c r="D3149" s="23"/>
      <c r="E3149" s="91">
        <v>5537705</v>
      </c>
      <c r="F3149" s="93"/>
      <c r="G3149" s="93">
        <f t="shared" ref="G3149:G3155" si="602">+E3149</f>
        <v>5537705</v>
      </c>
      <c r="H3149" s="94"/>
      <c r="I3149" s="94">
        <v>85208.81</v>
      </c>
      <c r="J3149" s="94">
        <v>57300.9</v>
      </c>
      <c r="K3149" s="25">
        <f t="shared" si="599"/>
        <v>5395195.29</v>
      </c>
      <c r="L3149" s="95">
        <f t="shared" si="600"/>
        <v>35524962</v>
      </c>
      <c r="M3149" s="20"/>
      <c r="N3149" s="20"/>
      <c r="O3149" s="130"/>
      <c r="P3149" s="249">
        <v>9423045411</v>
      </c>
      <c r="Q3149" s="251">
        <v>44348</v>
      </c>
      <c r="R3149" s="253">
        <v>335000</v>
      </c>
      <c r="S3149" s="253">
        <v>428800</v>
      </c>
      <c r="T3149" s="30"/>
      <c r="U3149" s="30"/>
      <c r="V3149" s="146"/>
      <c r="W3149" s="31">
        <v>5537705</v>
      </c>
      <c r="X3149" s="131">
        <f>+E3149-W3149</f>
        <v>0</v>
      </c>
    </row>
    <row r="3150" spans="2:24" s="31" customFormat="1" ht="15" hidden="1" x14ac:dyDescent="0.25">
      <c r="B3150" s="135">
        <v>44419.083333333336</v>
      </c>
      <c r="C3150" s="134" t="s">
        <v>2964</v>
      </c>
      <c r="D3150" s="23"/>
      <c r="E3150" s="91">
        <v>1157295</v>
      </c>
      <c r="F3150" s="93"/>
      <c r="G3150" s="93">
        <f t="shared" si="602"/>
        <v>1157295</v>
      </c>
      <c r="H3150" s="94"/>
      <c r="I3150" s="94"/>
      <c r="J3150" s="94"/>
      <c r="K3150" s="25">
        <f t="shared" si="599"/>
        <v>1157295</v>
      </c>
      <c r="L3150" s="95">
        <f t="shared" si="600"/>
        <v>34367667</v>
      </c>
      <c r="M3150" s="20"/>
      <c r="N3150" s="20"/>
      <c r="O3150" s="130"/>
      <c r="P3150" s="250"/>
      <c r="Q3150" s="252"/>
      <c r="R3150" s="254"/>
      <c r="S3150" s="254"/>
      <c r="T3150" s="30"/>
      <c r="U3150" s="30"/>
      <c r="V3150" s="146"/>
      <c r="W3150" s="31">
        <v>5537705</v>
      </c>
      <c r="X3150" s="168">
        <f>+E3150-W3150</f>
        <v>-4380410</v>
      </c>
    </row>
    <row r="3151" spans="2:24" s="31" customFormat="1" ht="15" hidden="1" x14ac:dyDescent="0.25">
      <c r="B3151" s="135">
        <v>44442.083333333336</v>
      </c>
      <c r="C3151" s="134" t="s">
        <v>2965</v>
      </c>
      <c r="D3151" s="23"/>
      <c r="E3151" s="91">
        <v>6695000</v>
      </c>
      <c r="F3151" s="93"/>
      <c r="G3151" s="93">
        <f t="shared" si="602"/>
        <v>6695000</v>
      </c>
      <c r="H3151" s="94"/>
      <c r="I3151" s="94">
        <v>85208.81</v>
      </c>
      <c r="J3151" s="94">
        <v>57300.9</v>
      </c>
      <c r="K3151" s="25">
        <f t="shared" si="599"/>
        <v>6552490.29</v>
      </c>
      <c r="L3151" s="95">
        <f t="shared" si="600"/>
        <v>27672667</v>
      </c>
      <c r="M3151" s="20"/>
      <c r="N3151" s="20"/>
      <c r="O3151" s="130"/>
      <c r="P3151" s="169">
        <v>9423950706</v>
      </c>
      <c r="Q3151" s="170">
        <v>44378</v>
      </c>
      <c r="R3151" s="171">
        <v>335000</v>
      </c>
      <c r="S3151" s="171">
        <v>428800</v>
      </c>
      <c r="T3151" s="30"/>
      <c r="U3151" s="30"/>
      <c r="V3151" s="146"/>
      <c r="X3151" s="168"/>
    </row>
    <row r="3152" spans="2:24" s="31" customFormat="1" ht="15" hidden="1" x14ac:dyDescent="0.25">
      <c r="B3152" s="135">
        <v>44477.083333333336</v>
      </c>
      <c r="C3152" s="134" t="s">
        <v>2966</v>
      </c>
      <c r="D3152" s="23"/>
      <c r="E3152" s="91">
        <v>6695000</v>
      </c>
      <c r="F3152" s="93"/>
      <c r="G3152" s="93">
        <f t="shared" si="602"/>
        <v>6695000</v>
      </c>
      <c r="H3152" s="94"/>
      <c r="I3152" s="94">
        <v>85208.81</v>
      </c>
      <c r="J3152" s="94">
        <v>57300.9</v>
      </c>
      <c r="K3152" s="25">
        <f t="shared" si="599"/>
        <v>6552490.29</v>
      </c>
      <c r="L3152" s="95">
        <f t="shared" si="600"/>
        <v>20977667</v>
      </c>
      <c r="M3152" s="20"/>
      <c r="N3152" s="20"/>
      <c r="O3152" s="130"/>
      <c r="P3152" s="169">
        <v>9425009436</v>
      </c>
      <c r="Q3152" s="170">
        <v>44409</v>
      </c>
      <c r="R3152" s="171">
        <v>335000</v>
      </c>
      <c r="S3152" s="171">
        <v>428800</v>
      </c>
      <c r="T3152" s="30"/>
      <c r="U3152" s="30"/>
      <c r="V3152" s="146"/>
      <c r="X3152" s="168"/>
    </row>
    <row r="3153" spans="1:24" s="31" customFormat="1" ht="15" hidden="1" x14ac:dyDescent="0.25">
      <c r="B3153" s="135">
        <v>44504.083333333336</v>
      </c>
      <c r="C3153" s="134" t="s">
        <v>2967</v>
      </c>
      <c r="D3153" s="23"/>
      <c r="E3153" s="91">
        <v>6695000</v>
      </c>
      <c r="F3153" s="93"/>
      <c r="G3153" s="93">
        <f t="shared" si="602"/>
        <v>6695000</v>
      </c>
      <c r="H3153" s="94"/>
      <c r="I3153" s="94">
        <v>85208.81</v>
      </c>
      <c r="J3153" s="94">
        <v>57300.9</v>
      </c>
      <c r="K3153" s="25">
        <f t="shared" si="599"/>
        <v>6552490.29</v>
      </c>
      <c r="L3153" s="95">
        <f t="shared" si="600"/>
        <v>14282667</v>
      </c>
      <c r="M3153" s="20"/>
      <c r="N3153" s="20"/>
      <c r="O3153" s="130"/>
      <c r="P3153" s="169">
        <v>9425981046</v>
      </c>
      <c r="Q3153" s="170">
        <v>44440</v>
      </c>
      <c r="R3153" s="171">
        <v>335000</v>
      </c>
      <c r="S3153" s="171">
        <v>428800</v>
      </c>
      <c r="T3153" s="30"/>
      <c r="U3153" s="30"/>
      <c r="V3153" s="146"/>
      <c r="X3153" s="168"/>
    </row>
    <row r="3154" spans="1:24" s="31" customFormat="1" ht="15" hidden="1" x14ac:dyDescent="0.25">
      <c r="B3154" s="135">
        <v>44539.125</v>
      </c>
      <c r="C3154" s="134" t="s">
        <v>2968</v>
      </c>
      <c r="D3154" s="23"/>
      <c r="E3154" s="91">
        <v>6695000</v>
      </c>
      <c r="F3154" s="93"/>
      <c r="G3154" s="93">
        <f t="shared" si="602"/>
        <v>6695000</v>
      </c>
      <c r="H3154" s="94"/>
      <c r="I3154" s="94">
        <v>85208.81</v>
      </c>
      <c r="J3154" s="94">
        <v>57300.9</v>
      </c>
      <c r="K3154" s="25">
        <f t="shared" si="599"/>
        <v>6552490.29</v>
      </c>
      <c r="L3154" s="95">
        <f t="shared" si="600"/>
        <v>7587667</v>
      </c>
      <c r="M3154" s="20"/>
      <c r="N3154" s="20"/>
      <c r="O3154" s="130"/>
      <c r="P3154" s="169">
        <v>9426774877</v>
      </c>
      <c r="Q3154" s="170">
        <v>44470</v>
      </c>
      <c r="R3154" s="171">
        <v>335000</v>
      </c>
      <c r="S3154" s="171">
        <v>428800</v>
      </c>
      <c r="T3154" s="30"/>
      <c r="U3154" s="30"/>
      <c r="V3154" s="146"/>
      <c r="X3154" s="168"/>
    </row>
    <row r="3155" spans="1:24" s="31" customFormat="1" ht="15" hidden="1" x14ac:dyDescent="0.25">
      <c r="B3155" s="135">
        <v>44557.125</v>
      </c>
      <c r="C3155" s="134" t="s">
        <v>2969</v>
      </c>
      <c r="D3155" s="23"/>
      <c r="E3155" s="91">
        <v>6695000</v>
      </c>
      <c r="F3155" s="93"/>
      <c r="G3155" s="93">
        <f t="shared" si="602"/>
        <v>6695000</v>
      </c>
      <c r="H3155" s="94"/>
      <c r="I3155" s="94">
        <v>85208.81</v>
      </c>
      <c r="J3155" s="94">
        <v>57300.9</v>
      </c>
      <c r="K3155" s="25">
        <f t="shared" si="599"/>
        <v>6552490.29</v>
      </c>
      <c r="L3155" s="95">
        <f t="shared" si="600"/>
        <v>892667</v>
      </c>
      <c r="M3155" s="20"/>
      <c r="N3155" s="20"/>
      <c r="O3155" s="130"/>
      <c r="P3155" s="169">
        <v>9428048326</v>
      </c>
      <c r="Q3155" s="170">
        <v>44501</v>
      </c>
      <c r="R3155" s="171">
        <v>335000</v>
      </c>
      <c r="S3155" s="171">
        <v>428800</v>
      </c>
      <c r="T3155" s="30"/>
      <c r="U3155" s="30"/>
      <c r="V3155" s="146"/>
      <c r="X3155" s="168"/>
    </row>
    <row r="3156" spans="1:24" s="31" customFormat="1" ht="15" hidden="1" x14ac:dyDescent="0.25">
      <c r="B3156" s="135"/>
      <c r="C3156" s="134"/>
      <c r="D3156" s="23"/>
      <c r="E3156" s="91"/>
      <c r="F3156" s="93"/>
      <c r="G3156" s="93"/>
      <c r="H3156" s="94"/>
      <c r="I3156" s="94"/>
      <c r="J3156" s="94"/>
      <c r="K3156" s="25"/>
      <c r="L3156" s="95"/>
      <c r="M3156" s="20"/>
      <c r="N3156" s="20"/>
      <c r="O3156" s="130"/>
      <c r="P3156" s="169">
        <v>9428214699</v>
      </c>
      <c r="Q3156" s="170">
        <v>44531</v>
      </c>
      <c r="R3156" s="171">
        <v>335000</v>
      </c>
      <c r="S3156" s="171">
        <v>428800</v>
      </c>
      <c r="T3156" s="30"/>
      <c r="U3156" s="30"/>
      <c r="V3156" s="146"/>
      <c r="X3156" s="168"/>
    </row>
    <row r="3157" spans="1:24" s="31" customFormat="1" ht="15" hidden="1" x14ac:dyDescent="0.25">
      <c r="B3157" s="135"/>
      <c r="C3157" s="134"/>
      <c r="D3157" s="23"/>
      <c r="E3157" s="91"/>
      <c r="F3157" s="93"/>
      <c r="G3157" s="93"/>
      <c r="H3157" s="94"/>
      <c r="I3157" s="94"/>
      <c r="J3157" s="94"/>
      <c r="K3157" s="25"/>
      <c r="L3157" s="95"/>
      <c r="M3157" s="20"/>
      <c r="N3157" s="20"/>
      <c r="O3157" s="130"/>
      <c r="P3157" s="169"/>
      <c r="Q3157" s="127"/>
      <c r="R3157" s="152">
        <f>SUM(R3137:R3156)</f>
        <v>3870000</v>
      </c>
      <c r="S3157" s="123">
        <f>SUM(S3137:S3156)</f>
        <v>4953600</v>
      </c>
      <c r="T3157" s="30"/>
      <c r="U3157" s="30"/>
      <c r="V3157" s="146"/>
      <c r="X3157" s="168"/>
    </row>
    <row r="3158" spans="1:24" ht="15.75" hidden="1" customHeight="1" x14ac:dyDescent="0.25">
      <c r="A3158" s="21">
        <v>1042021</v>
      </c>
      <c r="B3158" s="139" t="s">
        <v>2970</v>
      </c>
      <c r="C3158" s="140"/>
      <c r="D3158" s="141">
        <v>104236000</v>
      </c>
      <c r="E3158" s="141">
        <f>+D3158</f>
        <v>104236000</v>
      </c>
      <c r="F3158" s="141"/>
      <c r="G3158" s="141"/>
      <c r="H3158" s="141"/>
      <c r="I3158" s="141"/>
      <c r="J3158" s="141"/>
      <c r="K3158" s="141"/>
      <c r="L3158" s="141">
        <f>+D3158</f>
        <v>104236000</v>
      </c>
      <c r="M3158" s="142"/>
      <c r="N3158" s="142"/>
      <c r="P3158" s="126"/>
      <c r="Q3158" s="127"/>
      <c r="R3158" s="29"/>
      <c r="S3158" s="29"/>
    </row>
    <row r="3159" spans="1:24" ht="16.5" hidden="1" customHeight="1" x14ac:dyDescent="0.25">
      <c r="B3159" s="89">
        <v>44238.125</v>
      </c>
      <c r="C3159" s="92" t="s">
        <v>2971</v>
      </c>
      <c r="D3159" s="23"/>
      <c r="E3159" s="91">
        <v>1812800</v>
      </c>
      <c r="F3159" s="93"/>
      <c r="G3159" s="93">
        <f t="shared" ref="G3159:G3170" si="603">+E3159</f>
        <v>1812800</v>
      </c>
      <c r="H3159" s="94"/>
      <c r="I3159" s="94"/>
      <c r="J3159" s="94">
        <v>15515.32</v>
      </c>
      <c r="K3159" s="25">
        <f>+G3159-H3159-I3159-J3159</f>
        <v>1797284.68</v>
      </c>
      <c r="L3159" s="95">
        <f t="shared" ref="L3159:L3170" si="604">+L3158-G3159</f>
        <v>102423200</v>
      </c>
      <c r="M3159" s="96"/>
      <c r="N3159" s="96"/>
      <c r="O3159" s="149">
        <f>+VLOOKUP(A3158,'[1]ANEXO 7 - PPTO VIG 2021'!$H$8:$AB$160,21,)-L3170</f>
        <v>-2719200</v>
      </c>
      <c r="P3159" s="126">
        <v>878735213</v>
      </c>
      <c r="Q3159" s="127">
        <v>44197</v>
      </c>
      <c r="R3159" s="29">
        <v>453200</v>
      </c>
      <c r="S3159" s="29">
        <v>580100</v>
      </c>
      <c r="T3159" s="3">
        <f>+L3158-2719200</f>
        <v>101516800</v>
      </c>
      <c r="U3159" s="3">
        <f>+T3159*40%</f>
        <v>40606720</v>
      </c>
    </row>
    <row r="3160" spans="1:24" ht="16.5" hidden="1" customHeight="1" x14ac:dyDescent="0.25">
      <c r="B3160" s="89">
        <v>44259.125</v>
      </c>
      <c r="C3160" s="92" t="s">
        <v>2972</v>
      </c>
      <c r="D3160" s="23"/>
      <c r="E3160" s="91">
        <v>9064000</v>
      </c>
      <c r="F3160" s="93"/>
      <c r="G3160" s="93">
        <f t="shared" si="603"/>
        <v>9064000</v>
      </c>
      <c r="H3160" s="94"/>
      <c r="I3160" s="94">
        <v>357146.4</v>
      </c>
      <c r="J3160" s="94">
        <v>77576.600000000006</v>
      </c>
      <c r="K3160" s="25">
        <f>+G3160-H3160-I3160-J3160</f>
        <v>8629277</v>
      </c>
      <c r="L3160" s="95">
        <f t="shared" si="604"/>
        <v>93359200</v>
      </c>
      <c r="M3160" s="96"/>
      <c r="N3160" s="96"/>
      <c r="O3160" s="130"/>
      <c r="P3160" s="159">
        <v>48587889</v>
      </c>
      <c r="Q3160" s="127">
        <v>44228</v>
      </c>
      <c r="R3160" s="29">
        <v>453200</v>
      </c>
      <c r="S3160" s="29">
        <v>580100</v>
      </c>
      <c r="U3160" s="3"/>
    </row>
    <row r="3161" spans="1:24" ht="16.5" hidden="1" customHeight="1" x14ac:dyDescent="0.25">
      <c r="B3161" s="89">
        <v>44300.083333333336</v>
      </c>
      <c r="C3161" s="92" t="s">
        <v>2973</v>
      </c>
      <c r="D3161" s="23"/>
      <c r="E3161" s="91">
        <v>9064000</v>
      </c>
      <c r="F3161" s="93"/>
      <c r="G3161" s="93">
        <f t="shared" si="603"/>
        <v>9064000</v>
      </c>
      <c r="H3161" s="94"/>
      <c r="I3161" s="91">
        <v>357146.4</v>
      </c>
      <c r="J3161" s="91">
        <v>77576.600000000006</v>
      </c>
      <c r="K3161" s="25">
        <f>+G3161-H3161-I3161-J3161</f>
        <v>8629277</v>
      </c>
      <c r="L3161" s="95">
        <f t="shared" si="604"/>
        <v>84295200</v>
      </c>
      <c r="M3161" s="96"/>
      <c r="N3161" s="96"/>
      <c r="O3161" s="130"/>
      <c r="P3161" s="55">
        <v>937648842</v>
      </c>
      <c r="Q3161" s="127">
        <v>44256</v>
      </c>
      <c r="R3161" s="14">
        <v>453200</v>
      </c>
      <c r="S3161" s="14">
        <v>580100</v>
      </c>
      <c r="U3161" s="3">
        <f>+U3159*12.5%</f>
        <v>5075840</v>
      </c>
      <c r="V3161" s="172" t="s">
        <v>2769</v>
      </c>
    </row>
    <row r="3162" spans="1:24" ht="16.5" hidden="1" customHeight="1" x14ac:dyDescent="0.25">
      <c r="B3162" s="89">
        <v>44322.083333333336</v>
      </c>
      <c r="C3162" s="92" t="s">
        <v>2974</v>
      </c>
      <c r="D3162" s="23"/>
      <c r="E3162" s="91">
        <v>9064000</v>
      </c>
      <c r="F3162" s="93"/>
      <c r="G3162" s="93">
        <f t="shared" si="603"/>
        <v>9064000</v>
      </c>
      <c r="H3162" s="94"/>
      <c r="I3162" s="94">
        <v>357146.4</v>
      </c>
      <c r="J3162" s="94">
        <v>77576.600000000006</v>
      </c>
      <c r="K3162" s="25">
        <v>8629277</v>
      </c>
      <c r="L3162" s="95">
        <f t="shared" si="604"/>
        <v>75231200</v>
      </c>
      <c r="M3162" s="20">
        <v>9064000</v>
      </c>
      <c r="N3162" s="20">
        <f>+G3162-M3162</f>
        <v>0</v>
      </c>
      <c r="O3162" s="130"/>
      <c r="P3162" s="55">
        <v>49968616</v>
      </c>
      <c r="Q3162" s="127">
        <v>44287</v>
      </c>
      <c r="R3162" s="14">
        <v>453200</v>
      </c>
      <c r="S3162" s="14">
        <v>580100</v>
      </c>
      <c r="U3162" s="3">
        <f>+U3159*16%</f>
        <v>6497075.2000000002</v>
      </c>
      <c r="V3162" s="173" t="s">
        <v>2771</v>
      </c>
    </row>
    <row r="3163" spans="1:24" ht="16.5" hidden="1" customHeight="1" x14ac:dyDescent="0.25">
      <c r="B3163" s="89">
        <v>44349.083333333336</v>
      </c>
      <c r="C3163" s="92" t="s">
        <v>2975</v>
      </c>
      <c r="D3163" s="23"/>
      <c r="E3163" s="91">
        <v>9064000</v>
      </c>
      <c r="F3163" s="93"/>
      <c r="G3163" s="93">
        <f t="shared" si="603"/>
        <v>9064000</v>
      </c>
      <c r="H3163" s="94"/>
      <c r="I3163" s="94">
        <v>357146.4</v>
      </c>
      <c r="J3163" s="94">
        <v>77576.600000000006</v>
      </c>
      <c r="K3163" s="25">
        <v>8629277</v>
      </c>
      <c r="L3163" s="95">
        <f t="shared" si="604"/>
        <v>66167200</v>
      </c>
      <c r="M3163" s="20"/>
      <c r="N3163" s="20"/>
      <c r="O3163" s="130"/>
      <c r="P3163" s="84">
        <v>50613278</v>
      </c>
      <c r="Q3163" s="174">
        <v>44317</v>
      </c>
      <c r="R3163" s="125">
        <v>453200</v>
      </c>
      <c r="S3163" s="125">
        <v>580100</v>
      </c>
    </row>
    <row r="3164" spans="1:24" ht="16.5" hidden="1" customHeight="1" x14ac:dyDescent="0.25">
      <c r="B3164" s="89">
        <v>44385.083333333336</v>
      </c>
      <c r="C3164" s="92" t="s">
        <v>2976</v>
      </c>
      <c r="D3164" s="23"/>
      <c r="E3164" s="91">
        <v>9064000</v>
      </c>
      <c r="F3164" s="93"/>
      <c r="G3164" s="93">
        <f t="shared" si="603"/>
        <v>9064000</v>
      </c>
      <c r="H3164" s="94"/>
      <c r="I3164" s="94">
        <v>357146.4</v>
      </c>
      <c r="J3164" s="94">
        <v>77576.600000000006</v>
      </c>
      <c r="K3164" s="25">
        <v>8629277</v>
      </c>
      <c r="L3164" s="95">
        <f t="shared" si="604"/>
        <v>57103200</v>
      </c>
      <c r="M3164" s="20"/>
      <c r="N3164" s="20"/>
      <c r="O3164" s="130"/>
      <c r="P3164" s="84">
        <v>1039560983</v>
      </c>
      <c r="Q3164" s="174">
        <v>44348</v>
      </c>
      <c r="R3164" s="125">
        <v>453200</v>
      </c>
      <c r="S3164" s="125">
        <v>580100</v>
      </c>
    </row>
    <row r="3165" spans="1:24" ht="16.5" hidden="1" customHeight="1" x14ac:dyDescent="0.25">
      <c r="B3165" s="89">
        <v>44418.083333333336</v>
      </c>
      <c r="C3165" s="92" t="s">
        <v>2977</v>
      </c>
      <c r="D3165" s="23"/>
      <c r="E3165" s="91">
        <v>9064000</v>
      </c>
      <c r="F3165" s="93"/>
      <c r="G3165" s="93">
        <f t="shared" si="603"/>
        <v>9064000</v>
      </c>
      <c r="H3165" s="94"/>
      <c r="I3165" s="94">
        <v>357146.4</v>
      </c>
      <c r="J3165" s="94">
        <v>77576.600000000006</v>
      </c>
      <c r="K3165" s="25">
        <f t="shared" ref="K3165:K3170" si="605">+G3165-H3165-I3165-J3165</f>
        <v>8629277</v>
      </c>
      <c r="L3165" s="95">
        <f t="shared" si="604"/>
        <v>48039200</v>
      </c>
      <c r="M3165" s="20"/>
      <c r="N3165" s="20"/>
      <c r="O3165" s="130"/>
      <c r="P3165" s="84">
        <v>1074519666</v>
      </c>
      <c r="Q3165" s="174">
        <v>44378</v>
      </c>
      <c r="R3165" s="125">
        <v>453200</v>
      </c>
      <c r="S3165" s="125">
        <v>580100</v>
      </c>
      <c r="W3165" s="31">
        <v>9064000</v>
      </c>
      <c r="X3165" s="131">
        <f>+E3165-W3165</f>
        <v>0</v>
      </c>
    </row>
    <row r="3166" spans="1:24" ht="16.5" hidden="1" customHeight="1" x14ac:dyDescent="0.25">
      <c r="B3166" s="89">
        <v>44442.083333333336</v>
      </c>
      <c r="C3166" s="92" t="s">
        <v>2978</v>
      </c>
      <c r="D3166" s="23"/>
      <c r="E3166" s="91">
        <v>9064000</v>
      </c>
      <c r="F3166" s="93"/>
      <c r="G3166" s="93">
        <f t="shared" si="603"/>
        <v>9064000</v>
      </c>
      <c r="H3166" s="94"/>
      <c r="I3166" s="94">
        <v>357146.4</v>
      </c>
      <c r="J3166" s="94">
        <v>77576.600000000006</v>
      </c>
      <c r="K3166" s="25">
        <f t="shared" si="605"/>
        <v>8629277</v>
      </c>
      <c r="L3166" s="95">
        <f t="shared" si="604"/>
        <v>38975200</v>
      </c>
      <c r="M3166" s="20"/>
      <c r="N3166" s="20"/>
      <c r="O3166" s="130"/>
      <c r="P3166" s="84">
        <v>52640758</v>
      </c>
      <c r="Q3166" s="174">
        <v>44409</v>
      </c>
      <c r="R3166" s="125">
        <v>453200</v>
      </c>
      <c r="S3166" s="125">
        <v>580100</v>
      </c>
      <c r="W3166" s="31"/>
      <c r="X3166" s="131"/>
    </row>
    <row r="3167" spans="1:24" ht="16.5" hidden="1" customHeight="1" x14ac:dyDescent="0.25">
      <c r="B3167" s="89">
        <v>44477.083333333336</v>
      </c>
      <c r="C3167" s="92" t="s">
        <v>2979</v>
      </c>
      <c r="D3167" s="23"/>
      <c r="E3167" s="91">
        <v>9064000</v>
      </c>
      <c r="F3167" s="93"/>
      <c r="G3167" s="93">
        <f t="shared" si="603"/>
        <v>9064000</v>
      </c>
      <c r="H3167" s="94"/>
      <c r="I3167" s="94">
        <v>520601.86</v>
      </c>
      <c r="J3167" s="94">
        <v>77576.600000000006</v>
      </c>
      <c r="K3167" s="25">
        <f t="shared" si="605"/>
        <v>8465821.540000001</v>
      </c>
      <c r="L3167" s="95">
        <f t="shared" si="604"/>
        <v>29911200</v>
      </c>
      <c r="M3167" s="20"/>
      <c r="N3167" s="20"/>
      <c r="O3167" s="130"/>
      <c r="P3167" s="84">
        <v>5334566</v>
      </c>
      <c r="Q3167" s="174">
        <v>44440</v>
      </c>
      <c r="R3167" s="125">
        <v>453200</v>
      </c>
      <c r="S3167" s="125">
        <v>580100</v>
      </c>
      <c r="W3167" s="31"/>
      <c r="X3167" s="131"/>
    </row>
    <row r="3168" spans="1:24" ht="16.5" hidden="1" customHeight="1" x14ac:dyDescent="0.25">
      <c r="B3168" s="89">
        <v>44508.125</v>
      </c>
      <c r="C3168" s="92" t="s">
        <v>2980</v>
      </c>
      <c r="D3168" s="23"/>
      <c r="E3168" s="91">
        <v>9064000</v>
      </c>
      <c r="F3168" s="93"/>
      <c r="G3168" s="93">
        <f t="shared" si="603"/>
        <v>9064000</v>
      </c>
      <c r="H3168" s="94"/>
      <c r="I3168" s="94">
        <v>357146.4</v>
      </c>
      <c r="J3168" s="94">
        <v>77576.600000000006</v>
      </c>
      <c r="K3168" s="25">
        <f t="shared" si="605"/>
        <v>8629277</v>
      </c>
      <c r="L3168" s="95">
        <f t="shared" si="604"/>
        <v>20847200</v>
      </c>
      <c r="M3168" s="20"/>
      <c r="N3168" s="20"/>
      <c r="O3168" s="130"/>
      <c r="P3168" s="84">
        <v>53996050</v>
      </c>
      <c r="Q3168" s="174">
        <v>44470</v>
      </c>
      <c r="R3168" s="125">
        <v>453200</v>
      </c>
      <c r="S3168" s="125">
        <v>580100</v>
      </c>
      <c r="W3168" s="31"/>
      <c r="X3168" s="131"/>
    </row>
    <row r="3169" spans="1:24" ht="16.5" hidden="1" customHeight="1" x14ac:dyDescent="0.25">
      <c r="B3169" s="89">
        <v>44539.125</v>
      </c>
      <c r="C3169" s="92" t="s">
        <v>2981</v>
      </c>
      <c r="D3169" s="23"/>
      <c r="E3169" s="91">
        <v>9064000</v>
      </c>
      <c r="F3169" s="93"/>
      <c r="G3169" s="93">
        <f t="shared" si="603"/>
        <v>9064000</v>
      </c>
      <c r="H3169" s="94"/>
      <c r="I3169" s="94">
        <v>357146.4</v>
      </c>
      <c r="J3169" s="94">
        <v>77576.600000000006</v>
      </c>
      <c r="K3169" s="25">
        <f t="shared" si="605"/>
        <v>8629277</v>
      </c>
      <c r="L3169" s="95">
        <f t="shared" si="604"/>
        <v>11783200</v>
      </c>
      <c r="M3169" s="20"/>
      <c r="N3169" s="20"/>
      <c r="O3169" s="130"/>
      <c r="P3169" s="84">
        <v>54678138</v>
      </c>
      <c r="Q3169" s="174">
        <v>44501</v>
      </c>
      <c r="R3169" s="125">
        <v>453200</v>
      </c>
      <c r="S3169" s="125">
        <v>580100</v>
      </c>
      <c r="W3169" s="31"/>
      <c r="X3169" s="131"/>
    </row>
    <row r="3170" spans="1:24" ht="16.5" hidden="1" customHeight="1" x14ac:dyDescent="0.25">
      <c r="B3170" s="89">
        <v>44552.125</v>
      </c>
      <c r="C3170" s="92" t="s">
        <v>2982</v>
      </c>
      <c r="D3170" s="23"/>
      <c r="E3170" s="91">
        <v>9064000</v>
      </c>
      <c r="F3170" s="93"/>
      <c r="G3170" s="93">
        <f t="shared" si="603"/>
        <v>9064000</v>
      </c>
      <c r="H3170" s="94"/>
      <c r="I3170" s="94">
        <v>520601.86</v>
      </c>
      <c r="J3170" s="94">
        <v>77576.600000000006</v>
      </c>
      <c r="K3170" s="25">
        <f t="shared" si="605"/>
        <v>8465821.540000001</v>
      </c>
      <c r="L3170" s="95">
        <f t="shared" si="604"/>
        <v>2719200</v>
      </c>
      <c r="M3170" s="20"/>
      <c r="N3170" s="20"/>
      <c r="O3170" s="130"/>
      <c r="P3170" s="84">
        <v>55318122</v>
      </c>
      <c r="Q3170" s="174">
        <v>44531</v>
      </c>
      <c r="R3170" s="125">
        <v>453200</v>
      </c>
      <c r="S3170" s="125">
        <v>580100</v>
      </c>
      <c r="W3170" s="31"/>
      <c r="X3170" s="131"/>
    </row>
    <row r="3171" spans="1:24" ht="16.5" hidden="1" customHeight="1" x14ac:dyDescent="0.25">
      <c r="B3171" s="89"/>
      <c r="C3171" s="92"/>
      <c r="D3171" s="23"/>
      <c r="E3171" s="91"/>
      <c r="F3171" s="93"/>
      <c r="G3171" s="93"/>
      <c r="H3171" s="94"/>
      <c r="I3171" s="94"/>
      <c r="J3171" s="94"/>
      <c r="K3171" s="25"/>
      <c r="L3171" s="95"/>
      <c r="M3171" s="20"/>
      <c r="N3171" s="20"/>
      <c r="O3171" s="130"/>
      <c r="P3171" s="175"/>
      <c r="Q3171" s="176"/>
      <c r="R3171" s="177">
        <f>SUM(R3159:R3170)</f>
        <v>5438400</v>
      </c>
      <c r="S3171" s="178">
        <f>SUM(S3159:S3170)</f>
        <v>6961200</v>
      </c>
      <c r="W3171" s="31"/>
      <c r="X3171" s="131"/>
    </row>
    <row r="3172" spans="1:24" ht="20.25" hidden="1" customHeight="1" x14ac:dyDescent="0.25">
      <c r="A3172" s="21">
        <v>1072021</v>
      </c>
      <c r="B3172" s="139" t="s">
        <v>2983</v>
      </c>
      <c r="C3172" s="140"/>
      <c r="D3172" s="141">
        <v>92288000</v>
      </c>
      <c r="E3172" s="141">
        <f>+D3172</f>
        <v>92288000</v>
      </c>
      <c r="F3172" s="141"/>
      <c r="G3172" s="141"/>
      <c r="H3172" s="141"/>
      <c r="I3172" s="141"/>
      <c r="J3172" s="141"/>
      <c r="K3172" s="141"/>
      <c r="L3172" s="141">
        <f>+D3172</f>
        <v>92288000</v>
      </c>
      <c r="M3172" s="142"/>
      <c r="N3172" s="142"/>
      <c r="O3172" s="81"/>
    </row>
    <row r="3173" spans="1:24" ht="16.5" hidden="1" customHeight="1" x14ac:dyDescent="0.25">
      <c r="B3173" s="89">
        <v>44242.125</v>
      </c>
      <c r="C3173" s="92" t="s">
        <v>2984</v>
      </c>
      <c r="D3173" s="23"/>
      <c r="E3173" s="91">
        <v>1098666</v>
      </c>
      <c r="F3173" s="93"/>
      <c r="G3173" s="93">
        <f t="shared" ref="G3173:G3184" si="606">+E3173</f>
        <v>1098666</v>
      </c>
      <c r="H3173" s="94"/>
      <c r="I3173" s="94"/>
      <c r="J3173" s="91">
        <v>9403.2199999999993</v>
      </c>
      <c r="K3173" s="25">
        <f t="shared" ref="K3173:K3184" si="607">+G3173-H3173-I3173-J3173</f>
        <v>1089262.78</v>
      </c>
      <c r="L3173" s="95">
        <f t="shared" ref="L3173:L3184" si="608">+L3172-G3173</f>
        <v>91189334</v>
      </c>
      <c r="M3173" s="96"/>
      <c r="N3173" s="96"/>
      <c r="O3173" s="149">
        <f>+VLOOKUP(A3172,'[1]ANEXO 7 - PPTO VIG 2021'!$H$8:$AB$160,21,)-L3184</f>
        <v>-549334</v>
      </c>
      <c r="P3173" s="126">
        <v>47804934</v>
      </c>
      <c r="Q3173" s="127">
        <v>44166</v>
      </c>
      <c r="R3173" s="29">
        <v>875000</v>
      </c>
      <c r="S3173" s="29">
        <v>1190000</v>
      </c>
      <c r="T3173" s="3">
        <f>+L3172-549334</f>
        <v>91738666</v>
      </c>
      <c r="U3173" s="3">
        <f>+T3173*40%</f>
        <v>36695466.399999999</v>
      </c>
    </row>
    <row r="3174" spans="1:24" ht="16.5" hidden="1" customHeight="1" x14ac:dyDescent="0.25">
      <c r="B3174" s="89">
        <v>44267.125</v>
      </c>
      <c r="C3174" s="92" t="s">
        <v>2985</v>
      </c>
      <c r="D3174" s="23"/>
      <c r="E3174" s="91">
        <v>8240000</v>
      </c>
      <c r="F3174" s="93"/>
      <c r="G3174" s="93">
        <f t="shared" si="606"/>
        <v>8240000</v>
      </c>
      <c r="H3174" s="94"/>
      <c r="I3174" s="94">
        <v>257649.48</v>
      </c>
      <c r="J3174" s="91">
        <v>70524.179999999993</v>
      </c>
      <c r="K3174" s="25">
        <f t="shared" si="607"/>
        <v>7911826.3399999999</v>
      </c>
      <c r="L3174" s="95">
        <f t="shared" si="608"/>
        <v>82949334</v>
      </c>
      <c r="M3174" s="96"/>
      <c r="N3174" s="96"/>
      <c r="O3174" s="130"/>
      <c r="P3174" s="159">
        <v>48464081</v>
      </c>
      <c r="Q3174" s="127">
        <v>44197</v>
      </c>
      <c r="R3174" s="29">
        <v>875000</v>
      </c>
      <c r="S3174" s="29">
        <v>1190000</v>
      </c>
      <c r="U3174" s="3"/>
    </row>
    <row r="3175" spans="1:24" ht="16.5" hidden="1" customHeight="1" x14ac:dyDescent="0.25">
      <c r="B3175" s="89">
        <v>44299.083333333336</v>
      </c>
      <c r="C3175" s="92" t="s">
        <v>2986</v>
      </c>
      <c r="D3175" s="23"/>
      <c r="E3175" s="91">
        <v>8240000</v>
      </c>
      <c r="F3175" s="93"/>
      <c r="G3175" s="93">
        <f t="shared" si="606"/>
        <v>8240000</v>
      </c>
      <c r="H3175" s="94"/>
      <c r="I3175" s="91">
        <v>257649.48</v>
      </c>
      <c r="J3175" s="91">
        <v>70524.179999999993</v>
      </c>
      <c r="K3175" s="25">
        <f t="shared" si="607"/>
        <v>7911826.3399999999</v>
      </c>
      <c r="L3175" s="95">
        <f t="shared" si="608"/>
        <v>74709334</v>
      </c>
      <c r="M3175" s="96"/>
      <c r="N3175" s="96"/>
      <c r="O3175" s="130"/>
      <c r="P3175" s="55">
        <v>49318339</v>
      </c>
      <c r="Q3175" s="127">
        <v>44228</v>
      </c>
      <c r="R3175" s="14">
        <v>875000</v>
      </c>
      <c r="S3175" s="14">
        <v>1190000</v>
      </c>
      <c r="U3175" s="3">
        <f>+U3173*12.5%</f>
        <v>4586933.3</v>
      </c>
      <c r="V3175" s="172" t="s">
        <v>2769</v>
      </c>
    </row>
    <row r="3176" spans="1:24" ht="16.5" hidden="1" customHeight="1" x14ac:dyDescent="0.25">
      <c r="B3176" s="89">
        <v>44326.083333333336</v>
      </c>
      <c r="C3176" s="92" t="s">
        <v>2987</v>
      </c>
      <c r="D3176" s="23"/>
      <c r="E3176" s="91">
        <v>8240000</v>
      </c>
      <c r="F3176" s="93"/>
      <c r="G3176" s="93">
        <f t="shared" si="606"/>
        <v>8240000</v>
      </c>
      <c r="H3176" s="94"/>
      <c r="I3176" s="94">
        <v>257649.48</v>
      </c>
      <c r="J3176" s="91">
        <v>70524.179999999993</v>
      </c>
      <c r="K3176" s="25">
        <f t="shared" si="607"/>
        <v>7911826.3399999999</v>
      </c>
      <c r="L3176" s="95">
        <f t="shared" si="608"/>
        <v>66469334</v>
      </c>
      <c r="M3176" s="20">
        <v>8240000</v>
      </c>
      <c r="N3176" s="20">
        <f>+G3176-M3176</f>
        <v>0</v>
      </c>
      <c r="O3176" s="130"/>
      <c r="P3176" s="55">
        <v>50040136</v>
      </c>
      <c r="Q3176" s="127">
        <v>44256</v>
      </c>
      <c r="R3176" s="14">
        <v>875000</v>
      </c>
      <c r="S3176" s="14">
        <v>1190000</v>
      </c>
      <c r="U3176" s="3">
        <f>+U3173*16%</f>
        <v>5871274.6239999998</v>
      </c>
      <c r="V3176" s="173" t="s">
        <v>2771</v>
      </c>
    </row>
    <row r="3177" spans="1:24" ht="16.5" hidden="1" customHeight="1" x14ac:dyDescent="0.25">
      <c r="B3177" s="89">
        <v>44357.083333333336</v>
      </c>
      <c r="C3177" s="92" t="s">
        <v>2988</v>
      </c>
      <c r="D3177" s="23"/>
      <c r="E3177" s="91">
        <v>8240000</v>
      </c>
      <c r="F3177" s="93"/>
      <c r="G3177" s="93">
        <f t="shared" si="606"/>
        <v>8240000</v>
      </c>
      <c r="H3177" s="94"/>
      <c r="I3177" s="94">
        <v>257649.48</v>
      </c>
      <c r="J3177" s="91">
        <v>70524.179999999993</v>
      </c>
      <c r="K3177" s="25">
        <f t="shared" si="607"/>
        <v>7911826.3399999999</v>
      </c>
      <c r="L3177" s="95">
        <f t="shared" si="608"/>
        <v>58229334</v>
      </c>
      <c r="M3177" s="20"/>
      <c r="N3177" s="20"/>
      <c r="O3177" s="130"/>
      <c r="P3177" s="55">
        <v>50663757</v>
      </c>
      <c r="Q3177" s="127">
        <v>44287</v>
      </c>
      <c r="R3177" s="14">
        <v>875000</v>
      </c>
      <c r="S3177" s="14">
        <v>1190000</v>
      </c>
    </row>
    <row r="3178" spans="1:24" ht="16.5" hidden="1" customHeight="1" x14ac:dyDescent="0.25">
      <c r="B3178" s="89">
        <v>44384.083333333336</v>
      </c>
      <c r="C3178" s="92" t="s">
        <v>2989</v>
      </c>
      <c r="D3178" s="23"/>
      <c r="E3178" s="91">
        <v>8240000</v>
      </c>
      <c r="F3178" s="93"/>
      <c r="G3178" s="93">
        <f t="shared" si="606"/>
        <v>8240000</v>
      </c>
      <c r="H3178" s="94"/>
      <c r="I3178" s="94">
        <v>257649.48</v>
      </c>
      <c r="J3178" s="91">
        <v>70524.179999999993</v>
      </c>
      <c r="K3178" s="25">
        <f t="shared" si="607"/>
        <v>7911826.3399999999</v>
      </c>
      <c r="L3178" s="95">
        <f t="shared" si="608"/>
        <v>49989334</v>
      </c>
      <c r="M3178" s="20"/>
      <c r="N3178" s="20"/>
      <c r="O3178" s="130"/>
      <c r="P3178" s="55">
        <v>51283831</v>
      </c>
      <c r="Q3178" s="127">
        <v>44317</v>
      </c>
      <c r="R3178" s="14">
        <v>875000</v>
      </c>
      <c r="S3178" s="14">
        <v>1190000</v>
      </c>
    </row>
    <row r="3179" spans="1:24" ht="16.5" hidden="1" customHeight="1" x14ac:dyDescent="0.25">
      <c r="B3179" s="89">
        <v>44419.083333333336</v>
      </c>
      <c r="C3179" s="92" t="s">
        <v>2990</v>
      </c>
      <c r="D3179" s="23"/>
      <c r="E3179" s="91">
        <v>8240000</v>
      </c>
      <c r="F3179" s="93"/>
      <c r="G3179" s="93">
        <f t="shared" si="606"/>
        <v>8240000</v>
      </c>
      <c r="H3179" s="94"/>
      <c r="I3179" s="94">
        <v>262346.28999999998</v>
      </c>
      <c r="J3179" s="91">
        <v>70524.179999999993</v>
      </c>
      <c r="K3179" s="25">
        <f t="shared" si="607"/>
        <v>7907129.5300000003</v>
      </c>
      <c r="L3179" s="95">
        <f t="shared" si="608"/>
        <v>41749334</v>
      </c>
      <c r="M3179" s="20"/>
      <c r="N3179" s="20"/>
      <c r="O3179" s="130"/>
      <c r="P3179" s="84">
        <v>51904547</v>
      </c>
      <c r="Q3179" s="174">
        <v>44348</v>
      </c>
      <c r="R3179" s="14">
        <v>875000</v>
      </c>
      <c r="S3179" s="14">
        <v>1190000</v>
      </c>
      <c r="W3179" s="31">
        <v>8240000</v>
      </c>
      <c r="X3179" s="131">
        <f>+E3179-W3179</f>
        <v>0</v>
      </c>
    </row>
    <row r="3180" spans="1:24" ht="16.5" hidden="1" customHeight="1" x14ac:dyDescent="0.25">
      <c r="B3180" s="89">
        <v>44445.083333333336</v>
      </c>
      <c r="C3180" s="92" t="s">
        <v>2991</v>
      </c>
      <c r="D3180" s="23"/>
      <c r="E3180" s="91">
        <v>8240000</v>
      </c>
      <c r="F3180" s="93"/>
      <c r="G3180" s="93">
        <f t="shared" si="606"/>
        <v>8240000</v>
      </c>
      <c r="H3180" s="94"/>
      <c r="I3180" s="94">
        <v>375069.48</v>
      </c>
      <c r="J3180" s="91">
        <v>70524.179999999993</v>
      </c>
      <c r="K3180" s="25">
        <f t="shared" si="607"/>
        <v>7794406.3399999999</v>
      </c>
      <c r="L3180" s="95">
        <f t="shared" si="608"/>
        <v>33509334</v>
      </c>
      <c r="M3180" s="20"/>
      <c r="N3180" s="20"/>
      <c r="O3180" s="130"/>
      <c r="P3180" s="84">
        <v>52666420</v>
      </c>
      <c r="Q3180" s="174">
        <v>44378</v>
      </c>
      <c r="R3180" s="14">
        <v>875000</v>
      </c>
      <c r="S3180" s="14">
        <v>1190000</v>
      </c>
      <c r="W3180" s="31"/>
      <c r="X3180" s="131"/>
    </row>
    <row r="3181" spans="1:24" ht="16.5" hidden="1" customHeight="1" x14ac:dyDescent="0.25">
      <c r="B3181" s="89">
        <v>44481.083333333336</v>
      </c>
      <c r="C3181" s="92" t="s">
        <v>2992</v>
      </c>
      <c r="D3181" s="23"/>
      <c r="E3181" s="91">
        <v>8240000</v>
      </c>
      <c r="F3181" s="93"/>
      <c r="G3181" s="93">
        <f t="shared" si="606"/>
        <v>8240000</v>
      </c>
      <c r="H3181" s="94"/>
      <c r="I3181" s="94">
        <v>375069.48</v>
      </c>
      <c r="J3181" s="91">
        <v>70524.179999999993</v>
      </c>
      <c r="K3181" s="25">
        <f t="shared" si="607"/>
        <v>7794406.3399999999</v>
      </c>
      <c r="L3181" s="95">
        <f t="shared" si="608"/>
        <v>25269334</v>
      </c>
      <c r="M3181" s="20"/>
      <c r="N3181" s="20"/>
      <c r="O3181" s="130"/>
      <c r="P3181" s="84">
        <v>53288397</v>
      </c>
      <c r="Q3181" s="174">
        <v>44409</v>
      </c>
      <c r="R3181" s="14">
        <v>875000</v>
      </c>
      <c r="S3181" s="14">
        <v>1190000</v>
      </c>
      <c r="W3181" s="31"/>
      <c r="X3181" s="131"/>
    </row>
    <row r="3182" spans="1:24" ht="16.5" hidden="1" customHeight="1" x14ac:dyDescent="0.25">
      <c r="B3182" s="89">
        <v>44510.125</v>
      </c>
      <c r="C3182" s="92" t="s">
        <v>2993</v>
      </c>
      <c r="D3182" s="23"/>
      <c r="E3182" s="91">
        <v>8240000</v>
      </c>
      <c r="F3182" s="93"/>
      <c r="G3182" s="93">
        <f t="shared" si="606"/>
        <v>8240000</v>
      </c>
      <c r="H3182" s="94"/>
      <c r="I3182" s="94">
        <v>375069.48</v>
      </c>
      <c r="J3182" s="91">
        <v>70524.179999999993</v>
      </c>
      <c r="K3182" s="25">
        <f t="shared" si="607"/>
        <v>7794406.3399999999</v>
      </c>
      <c r="L3182" s="95">
        <f t="shared" si="608"/>
        <v>17029334</v>
      </c>
      <c r="M3182" s="20"/>
      <c r="N3182" s="20"/>
      <c r="O3182" s="130"/>
      <c r="P3182" s="84">
        <v>54066836</v>
      </c>
      <c r="Q3182" s="174">
        <v>44440</v>
      </c>
      <c r="R3182" s="125">
        <v>875000</v>
      </c>
      <c r="S3182" s="125">
        <v>1120000</v>
      </c>
      <c r="W3182" s="31"/>
      <c r="X3182" s="131"/>
    </row>
    <row r="3183" spans="1:24" ht="16.5" hidden="1" customHeight="1" x14ac:dyDescent="0.25">
      <c r="B3183" s="89">
        <v>44544.125</v>
      </c>
      <c r="C3183" s="92" t="s">
        <v>2994</v>
      </c>
      <c r="D3183" s="23"/>
      <c r="E3183" s="91">
        <v>8240000</v>
      </c>
      <c r="F3183" s="93"/>
      <c r="G3183" s="93">
        <f t="shared" si="606"/>
        <v>8240000</v>
      </c>
      <c r="H3183" s="94"/>
      <c r="I3183" s="94">
        <v>375069.48</v>
      </c>
      <c r="J3183" s="91">
        <v>70524.179999999993</v>
      </c>
      <c r="K3183" s="25">
        <f t="shared" si="607"/>
        <v>7794406.3399999999</v>
      </c>
      <c r="L3183" s="95">
        <f t="shared" si="608"/>
        <v>8789334</v>
      </c>
      <c r="M3183" s="20"/>
      <c r="N3183" s="20"/>
      <c r="O3183" s="130"/>
      <c r="P3183" s="84">
        <v>54684652</v>
      </c>
      <c r="Q3183" s="174">
        <v>44470</v>
      </c>
      <c r="R3183" s="125">
        <v>875000</v>
      </c>
      <c r="S3183" s="125">
        <v>1190000</v>
      </c>
      <c r="W3183" s="31"/>
      <c r="X3183" s="131"/>
    </row>
    <row r="3184" spans="1:24" ht="16.5" hidden="1" customHeight="1" x14ac:dyDescent="0.25">
      <c r="B3184" s="89">
        <v>44559.125</v>
      </c>
      <c r="C3184" s="92" t="s">
        <v>2995</v>
      </c>
      <c r="D3184" s="23"/>
      <c r="E3184" s="91">
        <v>8240000</v>
      </c>
      <c r="F3184" s="93"/>
      <c r="G3184" s="93">
        <f t="shared" si="606"/>
        <v>8240000</v>
      </c>
      <c r="H3184" s="94"/>
      <c r="I3184" s="94">
        <v>375069.48</v>
      </c>
      <c r="J3184" s="91">
        <v>70524.179999999993</v>
      </c>
      <c r="K3184" s="25">
        <f t="shared" si="607"/>
        <v>7794406.3399999999</v>
      </c>
      <c r="L3184" s="95">
        <f t="shared" si="608"/>
        <v>549334</v>
      </c>
      <c r="M3184" s="20"/>
      <c r="N3184" s="20"/>
      <c r="O3184" s="130"/>
      <c r="P3184" s="84">
        <v>55266266</v>
      </c>
      <c r="Q3184" s="174">
        <v>44501</v>
      </c>
      <c r="R3184" s="125">
        <v>875000</v>
      </c>
      <c r="S3184" s="125">
        <v>1190000</v>
      </c>
      <c r="W3184" s="31"/>
      <c r="X3184" s="131"/>
    </row>
    <row r="3185" spans="1:24" ht="16.5" hidden="1" customHeight="1" x14ac:dyDescent="0.25">
      <c r="B3185" s="89"/>
      <c r="C3185" s="92"/>
      <c r="D3185" s="23"/>
      <c r="E3185" s="91"/>
      <c r="F3185" s="93"/>
      <c r="G3185" s="93"/>
      <c r="H3185" s="94"/>
      <c r="I3185" s="94"/>
      <c r="J3185" s="91"/>
      <c r="K3185" s="25"/>
      <c r="L3185" s="95"/>
      <c r="M3185" s="20"/>
      <c r="N3185" s="20"/>
      <c r="O3185" s="130"/>
      <c r="P3185" s="84">
        <v>55320540</v>
      </c>
      <c r="Q3185" s="174">
        <v>44531</v>
      </c>
      <c r="R3185" s="125">
        <v>875000</v>
      </c>
      <c r="S3185" s="125">
        <v>1190000</v>
      </c>
      <c r="W3185" s="31"/>
      <c r="X3185" s="131"/>
    </row>
    <row r="3186" spans="1:24" ht="16.5" hidden="1" customHeight="1" x14ac:dyDescent="0.25">
      <c r="B3186" s="89"/>
      <c r="C3186" s="92"/>
      <c r="D3186" s="23"/>
      <c r="E3186" s="91"/>
      <c r="F3186" s="93"/>
      <c r="G3186" s="93"/>
      <c r="H3186" s="94"/>
      <c r="I3186" s="94"/>
      <c r="J3186" s="91"/>
      <c r="K3186" s="25"/>
      <c r="L3186" s="95"/>
      <c r="M3186" s="20"/>
      <c r="N3186" s="20"/>
      <c r="O3186" s="130"/>
      <c r="P3186" s="84"/>
      <c r="Q3186" s="174"/>
      <c r="R3186" s="177">
        <f>SUM(R3173:R3185)</f>
        <v>11375000</v>
      </c>
      <c r="S3186" s="178">
        <f>SUM(S3173:S3185)</f>
        <v>15400000</v>
      </c>
      <c r="W3186" s="31"/>
      <c r="X3186" s="131"/>
    </row>
    <row r="3187" spans="1:24" ht="13.5" hidden="1" customHeight="1" x14ac:dyDescent="0.25">
      <c r="A3187" s="21">
        <v>1312021</v>
      </c>
      <c r="B3187" s="139" t="s">
        <v>2996</v>
      </c>
      <c r="C3187" s="140"/>
      <c r="D3187" s="141">
        <v>71770400</v>
      </c>
      <c r="E3187" s="141">
        <f>+D3187</f>
        <v>71770400</v>
      </c>
      <c r="F3187" s="141"/>
      <c r="G3187" s="141"/>
      <c r="H3187" s="141"/>
      <c r="I3187" s="141"/>
      <c r="J3187" s="141"/>
      <c r="K3187" s="141"/>
      <c r="L3187" s="141">
        <f>+D3187</f>
        <v>71770400</v>
      </c>
      <c r="M3187" s="142"/>
      <c r="N3187" s="142"/>
    </row>
    <row r="3188" spans="1:24" ht="16.5" hidden="1" customHeight="1" x14ac:dyDescent="0.25">
      <c r="B3188" s="89">
        <v>44238.125</v>
      </c>
      <c r="C3188" s="92" t="s">
        <v>2997</v>
      </c>
      <c r="D3188" s="23"/>
      <c r="E3188" s="91">
        <v>856960</v>
      </c>
      <c r="F3188" s="93"/>
      <c r="G3188" s="93">
        <f>+E3188</f>
        <v>856960</v>
      </c>
      <c r="H3188" s="94"/>
      <c r="I3188" s="91"/>
      <c r="J3188" s="91">
        <v>8278.23</v>
      </c>
      <c r="K3188" s="25">
        <f>+G3188-H3188-I3188-J3188</f>
        <v>848681.77</v>
      </c>
      <c r="L3188" s="95">
        <f t="shared" ref="L3188:L3200" si="609">+L3187-G3188</f>
        <v>70913440</v>
      </c>
      <c r="M3188" s="96"/>
      <c r="N3188" s="96"/>
      <c r="O3188" s="149">
        <f>+VLOOKUP(A3187,'[1]ANEXO 7 - PPTO VIG 2021'!$H$8:$AB$160,21,)-L3200</f>
        <v>-214240</v>
      </c>
      <c r="P3188" s="55">
        <v>9413842184</v>
      </c>
      <c r="Q3188" s="127">
        <v>44166</v>
      </c>
      <c r="R3188" s="14">
        <v>312000</v>
      </c>
      <c r="S3188" s="14">
        <v>399400</v>
      </c>
      <c r="T3188" s="3">
        <f>+L3187-214240</f>
        <v>71556160</v>
      </c>
      <c r="U3188" s="3">
        <f>+T3188*40%</f>
        <v>28622464</v>
      </c>
    </row>
    <row r="3189" spans="1:24" ht="16.5" hidden="1" customHeight="1" x14ac:dyDescent="0.25">
      <c r="B3189" s="89">
        <v>44267.125</v>
      </c>
      <c r="C3189" s="92" t="s">
        <v>2998</v>
      </c>
      <c r="D3189" s="23"/>
      <c r="E3189" s="91">
        <v>6427200</v>
      </c>
      <c r="F3189" s="93"/>
      <c r="G3189" s="93">
        <f t="shared" ref="G3189:G3200" si="610">+E3189</f>
        <v>6427200</v>
      </c>
      <c r="H3189" s="94"/>
      <c r="I3189" s="91">
        <v>62595.39</v>
      </c>
      <c r="J3189" s="91">
        <v>55008.86</v>
      </c>
      <c r="K3189" s="25">
        <f>+G3189-H3189-I3189-J3189</f>
        <v>6309595.75</v>
      </c>
      <c r="L3189" s="95">
        <f t="shared" si="609"/>
        <v>64486240</v>
      </c>
      <c r="M3189" s="96"/>
      <c r="N3189" s="96"/>
      <c r="O3189" s="130"/>
      <c r="P3189" s="55">
        <v>9416150546</v>
      </c>
      <c r="Q3189" s="127">
        <v>44197</v>
      </c>
      <c r="R3189" s="14">
        <v>64300</v>
      </c>
      <c r="S3189" s="14">
        <v>82300</v>
      </c>
      <c r="U3189" s="3"/>
    </row>
    <row r="3190" spans="1:24" ht="16.5" hidden="1" customHeight="1" x14ac:dyDescent="0.25">
      <c r="B3190" s="89"/>
      <c r="C3190" s="92"/>
      <c r="D3190" s="23"/>
      <c r="E3190" s="91"/>
      <c r="F3190" s="93"/>
      <c r="G3190" s="93"/>
      <c r="H3190" s="94"/>
      <c r="I3190" s="91"/>
      <c r="J3190" s="91"/>
      <c r="K3190" s="25"/>
      <c r="L3190" s="95"/>
      <c r="M3190" s="96"/>
      <c r="N3190" s="96"/>
      <c r="O3190" s="130"/>
      <c r="P3190" s="55">
        <v>9416150965</v>
      </c>
      <c r="Q3190" s="127">
        <v>44228</v>
      </c>
      <c r="R3190" s="14">
        <v>321400</v>
      </c>
      <c r="S3190" s="14">
        <v>411400</v>
      </c>
      <c r="U3190" s="3">
        <f>+U3188*12.5%</f>
        <v>3577808</v>
      </c>
      <c r="V3190" s="172" t="s">
        <v>2769</v>
      </c>
    </row>
    <row r="3191" spans="1:24" ht="16.5" hidden="1" customHeight="1" x14ac:dyDescent="0.25">
      <c r="B3191" s="89">
        <v>44299.083333333336</v>
      </c>
      <c r="C3191" s="92" t="s">
        <v>2999</v>
      </c>
      <c r="D3191" s="23"/>
      <c r="E3191" s="91">
        <v>6427200</v>
      </c>
      <c r="F3191" s="93"/>
      <c r="G3191" s="93">
        <f t="shared" si="610"/>
        <v>6427200</v>
      </c>
      <c r="H3191" s="94"/>
      <c r="I3191" s="91">
        <v>62595.39</v>
      </c>
      <c r="J3191" s="91">
        <v>55008.86</v>
      </c>
      <c r="K3191" s="25">
        <f t="shared" ref="K3191:K3200" si="611">+G3191-H3191-I3191-J3191</f>
        <v>6309595.75</v>
      </c>
      <c r="L3191" s="95">
        <f>+L3189-G3191</f>
        <v>58059040</v>
      </c>
      <c r="M3191" s="96"/>
      <c r="N3191" s="96"/>
      <c r="O3191" s="130"/>
      <c r="P3191" s="55">
        <v>9417458753</v>
      </c>
      <c r="Q3191" s="127">
        <v>44256</v>
      </c>
      <c r="R3191" s="14">
        <v>321400</v>
      </c>
      <c r="S3191" s="14">
        <v>411400</v>
      </c>
      <c r="U3191" s="3">
        <f>+U3188*16%</f>
        <v>4579594.2400000002</v>
      </c>
      <c r="V3191" s="173" t="s">
        <v>2771</v>
      </c>
    </row>
    <row r="3192" spans="1:24" ht="16.5" hidden="1" customHeight="1" x14ac:dyDescent="0.25">
      <c r="B3192" s="89">
        <v>44326.083333333336</v>
      </c>
      <c r="C3192" s="92" t="s">
        <v>3000</v>
      </c>
      <c r="D3192" s="23"/>
      <c r="E3192" s="91">
        <v>6427200</v>
      </c>
      <c r="F3192" s="93"/>
      <c r="G3192" s="93">
        <f t="shared" si="610"/>
        <v>6427200</v>
      </c>
      <c r="H3192" s="94"/>
      <c r="I3192" s="91">
        <v>62595.39</v>
      </c>
      <c r="J3192" s="91">
        <v>55008.86</v>
      </c>
      <c r="K3192" s="25">
        <f t="shared" si="611"/>
        <v>6309595.75</v>
      </c>
      <c r="L3192" s="95">
        <f t="shared" si="609"/>
        <v>51631840</v>
      </c>
      <c r="M3192" s="96">
        <v>6427200</v>
      </c>
      <c r="N3192" s="96">
        <f>+G3192-M3192</f>
        <v>0</v>
      </c>
      <c r="O3192" s="130"/>
      <c r="P3192" s="55">
        <v>9418940424</v>
      </c>
      <c r="Q3192" s="127">
        <v>44287</v>
      </c>
      <c r="R3192" s="14">
        <v>321400</v>
      </c>
      <c r="S3192" s="14">
        <v>411200</v>
      </c>
    </row>
    <row r="3193" spans="1:24" ht="16.5" hidden="1" customHeight="1" x14ac:dyDescent="0.25">
      <c r="B3193" s="89">
        <v>44349.083333333336</v>
      </c>
      <c r="C3193" s="92" t="s">
        <v>3001</v>
      </c>
      <c r="D3193" s="23"/>
      <c r="E3193" s="91">
        <v>6427200</v>
      </c>
      <c r="F3193" s="93"/>
      <c r="G3193" s="93">
        <f t="shared" si="610"/>
        <v>6427200</v>
      </c>
      <c r="H3193" s="94"/>
      <c r="I3193" s="91">
        <v>62595.39</v>
      </c>
      <c r="J3193" s="91">
        <v>55008.86</v>
      </c>
      <c r="K3193" s="25">
        <f t="shared" si="611"/>
        <v>6309595.75</v>
      </c>
      <c r="L3193" s="95">
        <f t="shared" si="609"/>
        <v>45204640</v>
      </c>
      <c r="M3193" s="96"/>
      <c r="N3193" s="96"/>
      <c r="O3193" s="130"/>
      <c r="P3193" s="55">
        <v>9419877591</v>
      </c>
      <c r="Q3193" s="127">
        <v>44317</v>
      </c>
      <c r="R3193" s="14">
        <v>321400</v>
      </c>
      <c r="S3193" s="14">
        <v>411400</v>
      </c>
    </row>
    <row r="3194" spans="1:24" ht="16.5" hidden="1" customHeight="1" x14ac:dyDescent="0.25">
      <c r="B3194" s="89">
        <v>44385.083333333336</v>
      </c>
      <c r="C3194" s="92" t="s">
        <v>3002</v>
      </c>
      <c r="D3194" s="23"/>
      <c r="E3194" s="91">
        <v>6427200</v>
      </c>
      <c r="F3194" s="93"/>
      <c r="G3194" s="93">
        <f t="shared" si="610"/>
        <v>6427200</v>
      </c>
      <c r="H3194" s="94"/>
      <c r="I3194" s="91">
        <v>62595.39</v>
      </c>
      <c r="J3194" s="91">
        <v>55008.86</v>
      </c>
      <c r="K3194" s="25">
        <f t="shared" si="611"/>
        <v>6309595.75</v>
      </c>
      <c r="L3194" s="95">
        <f t="shared" si="609"/>
        <v>38777440</v>
      </c>
      <c r="M3194" s="96"/>
      <c r="N3194" s="96"/>
      <c r="O3194" s="130"/>
      <c r="P3194" s="55">
        <v>9420939945</v>
      </c>
      <c r="Q3194" s="127">
        <v>44348</v>
      </c>
      <c r="R3194" s="14">
        <v>321400</v>
      </c>
      <c r="S3194" s="14">
        <v>411400</v>
      </c>
    </row>
    <row r="3195" spans="1:24" ht="16.5" hidden="1" customHeight="1" x14ac:dyDescent="0.25">
      <c r="B3195" s="89">
        <v>44419.083333333336</v>
      </c>
      <c r="C3195" s="92" t="s">
        <v>3003</v>
      </c>
      <c r="D3195" s="23"/>
      <c r="E3195" s="91">
        <v>6427200</v>
      </c>
      <c r="F3195" s="93"/>
      <c r="G3195" s="93">
        <f t="shared" si="610"/>
        <v>6427200</v>
      </c>
      <c r="H3195" s="94"/>
      <c r="I3195" s="91">
        <v>62595.39</v>
      </c>
      <c r="J3195" s="91">
        <v>55008.86</v>
      </c>
      <c r="K3195" s="25">
        <f t="shared" si="611"/>
        <v>6309595.75</v>
      </c>
      <c r="L3195" s="95">
        <f t="shared" si="609"/>
        <v>32350240</v>
      </c>
      <c r="M3195" s="96"/>
      <c r="N3195" s="96"/>
      <c r="O3195" s="130"/>
      <c r="P3195" s="55">
        <v>94224633932</v>
      </c>
      <c r="Q3195" s="127">
        <v>44378</v>
      </c>
      <c r="R3195" s="14">
        <v>321400</v>
      </c>
      <c r="S3195" s="14">
        <v>411400</v>
      </c>
      <c r="W3195" s="21">
        <v>6427200</v>
      </c>
      <c r="X3195" s="21">
        <f>+E3195-W3195</f>
        <v>0</v>
      </c>
    </row>
    <row r="3196" spans="1:24" ht="16.5" hidden="1" customHeight="1" x14ac:dyDescent="0.25">
      <c r="B3196" s="89">
        <v>44447.083333333336</v>
      </c>
      <c r="C3196" s="92" t="s">
        <v>3004</v>
      </c>
      <c r="D3196" s="23"/>
      <c r="E3196" s="91">
        <v>6427200</v>
      </c>
      <c r="F3196" s="93"/>
      <c r="G3196" s="93">
        <f t="shared" si="610"/>
        <v>6427200</v>
      </c>
      <c r="H3196" s="94"/>
      <c r="I3196" s="91">
        <v>62595.39</v>
      </c>
      <c r="J3196" s="91">
        <v>55008.86</v>
      </c>
      <c r="K3196" s="25">
        <f t="shared" si="611"/>
        <v>6309595.75</v>
      </c>
      <c r="L3196" s="95">
        <f t="shared" si="609"/>
        <v>25923040</v>
      </c>
      <c r="M3196" s="96"/>
      <c r="N3196" s="96"/>
      <c r="O3196" s="130"/>
      <c r="P3196" s="55">
        <v>9423719123</v>
      </c>
      <c r="Q3196" s="127">
        <v>44409</v>
      </c>
      <c r="R3196" s="14">
        <v>321400</v>
      </c>
      <c r="S3196" s="14">
        <v>411400</v>
      </c>
    </row>
    <row r="3197" spans="1:24" ht="16.5" hidden="1" customHeight="1" x14ac:dyDescent="0.25">
      <c r="B3197" s="89">
        <v>44481.083333333336</v>
      </c>
      <c r="C3197" s="92" t="s">
        <v>3005</v>
      </c>
      <c r="D3197" s="23"/>
      <c r="E3197" s="91">
        <v>6427200</v>
      </c>
      <c r="F3197" s="93"/>
      <c r="G3197" s="93">
        <f t="shared" si="610"/>
        <v>6427200</v>
      </c>
      <c r="H3197" s="94"/>
      <c r="I3197" s="91">
        <v>62595.39</v>
      </c>
      <c r="J3197" s="91">
        <v>55008.86</v>
      </c>
      <c r="K3197" s="25">
        <f t="shared" si="611"/>
        <v>6309595.75</v>
      </c>
      <c r="L3197" s="95">
        <f t="shared" si="609"/>
        <v>19495840</v>
      </c>
      <c r="M3197" s="96"/>
      <c r="N3197" s="96"/>
      <c r="O3197" s="130"/>
      <c r="P3197" s="84">
        <v>9424832510</v>
      </c>
      <c r="Q3197" s="127">
        <v>44440</v>
      </c>
      <c r="R3197" s="14">
        <v>321400</v>
      </c>
      <c r="S3197" s="14">
        <v>411400</v>
      </c>
    </row>
    <row r="3198" spans="1:24" ht="16.5" hidden="1" customHeight="1" x14ac:dyDescent="0.25">
      <c r="B3198" s="89">
        <v>44511.125</v>
      </c>
      <c r="C3198" s="92" t="s">
        <v>3006</v>
      </c>
      <c r="D3198" s="23"/>
      <c r="E3198" s="91">
        <v>6427200</v>
      </c>
      <c r="F3198" s="93"/>
      <c r="G3198" s="93">
        <f t="shared" si="610"/>
        <v>6427200</v>
      </c>
      <c r="H3198" s="94"/>
      <c r="I3198" s="91">
        <v>62595.39</v>
      </c>
      <c r="J3198" s="91">
        <v>55008.86</v>
      </c>
      <c r="K3198" s="25">
        <f t="shared" si="611"/>
        <v>6309595.75</v>
      </c>
      <c r="L3198" s="95">
        <f t="shared" si="609"/>
        <v>13068640</v>
      </c>
      <c r="M3198" s="96"/>
      <c r="N3198" s="96"/>
      <c r="O3198" s="130"/>
      <c r="P3198" s="84">
        <v>9425842793</v>
      </c>
      <c r="Q3198" s="127">
        <v>44470</v>
      </c>
      <c r="R3198" s="14">
        <v>321400</v>
      </c>
      <c r="S3198" s="14">
        <v>411400</v>
      </c>
    </row>
    <row r="3199" spans="1:24" ht="16.5" hidden="1" customHeight="1" x14ac:dyDescent="0.25">
      <c r="B3199" s="89">
        <v>44533.125</v>
      </c>
      <c r="C3199" s="92" t="s">
        <v>3007</v>
      </c>
      <c r="D3199" s="23"/>
      <c r="E3199" s="91">
        <v>6427200</v>
      </c>
      <c r="F3199" s="93"/>
      <c r="G3199" s="93">
        <f t="shared" si="610"/>
        <v>6427200</v>
      </c>
      <c r="H3199" s="94"/>
      <c r="I3199" s="91">
        <v>62595.39</v>
      </c>
      <c r="J3199" s="91">
        <v>55008.86</v>
      </c>
      <c r="K3199" s="25">
        <f t="shared" si="611"/>
        <v>6309595.75</v>
      </c>
      <c r="L3199" s="95">
        <f t="shared" si="609"/>
        <v>6641440</v>
      </c>
      <c r="M3199" s="96"/>
      <c r="N3199" s="96"/>
      <c r="O3199" s="130"/>
      <c r="P3199" s="84">
        <v>9427111662</v>
      </c>
      <c r="Q3199" s="127">
        <v>44501</v>
      </c>
      <c r="R3199" s="14">
        <v>321400</v>
      </c>
      <c r="S3199" s="14">
        <v>411400</v>
      </c>
    </row>
    <row r="3200" spans="1:24" ht="16.5" hidden="1" customHeight="1" x14ac:dyDescent="0.25">
      <c r="B3200" s="89">
        <v>44552.125</v>
      </c>
      <c r="C3200" s="92" t="s">
        <v>3008</v>
      </c>
      <c r="D3200" s="23"/>
      <c r="E3200" s="91">
        <v>6427200</v>
      </c>
      <c r="F3200" s="93"/>
      <c r="G3200" s="93">
        <f t="shared" si="610"/>
        <v>6427200</v>
      </c>
      <c r="H3200" s="94"/>
      <c r="I3200" s="91">
        <v>62595.39</v>
      </c>
      <c r="J3200" s="91">
        <v>55008.86</v>
      </c>
      <c r="K3200" s="25">
        <f t="shared" si="611"/>
        <v>6309595.75</v>
      </c>
      <c r="L3200" s="95">
        <f t="shared" si="609"/>
        <v>214240</v>
      </c>
      <c r="M3200" s="96"/>
      <c r="N3200" s="96"/>
      <c r="O3200" s="130"/>
      <c r="P3200" s="84">
        <v>9428030457</v>
      </c>
      <c r="Q3200" s="127">
        <v>44531</v>
      </c>
      <c r="R3200" s="14">
        <v>321400</v>
      </c>
      <c r="S3200" s="14">
        <v>411400</v>
      </c>
    </row>
    <row r="3201" spans="1:24" ht="16.5" hidden="1" customHeight="1" x14ac:dyDescent="0.25">
      <c r="B3201" s="89"/>
      <c r="C3201" s="92"/>
      <c r="D3201" s="23"/>
      <c r="E3201" s="91"/>
      <c r="F3201" s="93"/>
      <c r="G3201" s="93"/>
      <c r="H3201" s="94"/>
      <c r="I3201" s="91"/>
      <c r="J3201" s="91"/>
      <c r="K3201" s="25"/>
      <c r="L3201" s="95"/>
      <c r="M3201" s="96"/>
      <c r="N3201" s="96"/>
      <c r="O3201" s="130"/>
      <c r="P3201" s="84"/>
      <c r="Q3201" s="174"/>
      <c r="R3201" s="177">
        <f>SUM(R3188:R3200)</f>
        <v>3911700</v>
      </c>
      <c r="S3201" s="178">
        <f>SUM(S3188:S3200)</f>
        <v>5006900</v>
      </c>
    </row>
    <row r="3202" spans="1:24" ht="21" hidden="1" customHeight="1" x14ac:dyDescent="0.25">
      <c r="A3202" s="21">
        <v>1422021</v>
      </c>
      <c r="B3202" s="139" t="s">
        <v>3009</v>
      </c>
      <c r="C3202" s="140"/>
      <c r="D3202" s="141">
        <v>74760833</v>
      </c>
      <c r="E3202" s="141">
        <f>+D3202</f>
        <v>74760833</v>
      </c>
      <c r="F3202" s="141"/>
      <c r="G3202" s="141"/>
      <c r="H3202" s="141"/>
      <c r="I3202" s="141"/>
      <c r="J3202" s="141"/>
      <c r="K3202" s="141"/>
      <c r="L3202" s="141">
        <f>+D3202</f>
        <v>74760833</v>
      </c>
      <c r="M3202" s="142"/>
      <c r="N3202" s="142"/>
    </row>
    <row r="3203" spans="1:24" ht="16.5" hidden="1" customHeight="1" x14ac:dyDescent="0.25">
      <c r="B3203" s="89">
        <v>44238.125</v>
      </c>
      <c r="C3203" s="92" t="s">
        <v>3010</v>
      </c>
      <c r="D3203" s="23"/>
      <c r="E3203" s="91">
        <v>892667</v>
      </c>
      <c r="F3203" s="93"/>
      <c r="G3203" s="93">
        <f t="shared" ref="G3203:G3214" si="612">+E3203</f>
        <v>892667</v>
      </c>
      <c r="H3203" s="94"/>
      <c r="I3203" s="94"/>
      <c r="J3203" s="91">
        <v>7640.12</v>
      </c>
      <c r="K3203" s="25">
        <f t="shared" ref="K3203:K3214" si="613">+G3203-H3203-I3203-J3203</f>
        <v>885026.88</v>
      </c>
      <c r="L3203" s="95">
        <f t="shared" ref="L3203:L3214" si="614">+L3202-G3203</f>
        <v>73868166</v>
      </c>
      <c r="M3203" s="20"/>
      <c r="N3203" s="20"/>
      <c r="O3203" s="149">
        <f>+VLOOKUP(A3202,'[1]ANEXO 7 - PPTO VIG 2021'!$H$8:$AB$160,21,)-L3214</f>
        <v>-223166</v>
      </c>
      <c r="P3203" s="55">
        <v>9415579729</v>
      </c>
      <c r="Q3203" s="127">
        <v>44197</v>
      </c>
      <c r="R3203" s="14">
        <v>113600</v>
      </c>
      <c r="S3203" s="14">
        <v>145000</v>
      </c>
      <c r="T3203" s="3">
        <f>+L3202-223166</f>
        <v>74537667</v>
      </c>
      <c r="U3203" s="3">
        <f>+T3203*40%</f>
        <v>29815066.800000001</v>
      </c>
    </row>
    <row r="3204" spans="1:24" ht="16.5" hidden="1" customHeight="1" x14ac:dyDescent="0.25">
      <c r="B3204" s="89">
        <v>44259.125</v>
      </c>
      <c r="C3204" s="92" t="s">
        <v>3011</v>
      </c>
      <c r="D3204" s="23"/>
      <c r="E3204" s="91">
        <v>6695000</v>
      </c>
      <c r="F3204" s="93"/>
      <c r="G3204" s="93">
        <f t="shared" si="612"/>
        <v>6695000</v>
      </c>
      <c r="H3204" s="94"/>
      <c r="I3204" s="94">
        <v>187922.84</v>
      </c>
      <c r="J3204" s="91">
        <v>57300.9</v>
      </c>
      <c r="K3204" s="25">
        <f t="shared" si="613"/>
        <v>6449776.2599999998</v>
      </c>
      <c r="L3204" s="95">
        <f t="shared" si="614"/>
        <v>67173166</v>
      </c>
      <c r="M3204" s="20"/>
      <c r="N3204" s="20"/>
      <c r="O3204" s="130"/>
      <c r="P3204" s="55">
        <v>9415579984</v>
      </c>
      <c r="Q3204" s="127">
        <v>44228</v>
      </c>
      <c r="R3204" s="14">
        <v>334800</v>
      </c>
      <c r="S3204" s="14">
        <v>428500</v>
      </c>
      <c r="U3204" s="3"/>
    </row>
    <row r="3205" spans="1:24" ht="16.5" hidden="1" customHeight="1" x14ac:dyDescent="0.25">
      <c r="B3205" s="89">
        <v>44300.083333333336</v>
      </c>
      <c r="C3205" s="92" t="s">
        <v>3012</v>
      </c>
      <c r="D3205" s="23"/>
      <c r="E3205" s="91">
        <v>6695000</v>
      </c>
      <c r="F3205" s="93"/>
      <c r="G3205" s="93">
        <f t="shared" si="612"/>
        <v>6695000</v>
      </c>
      <c r="H3205" s="94"/>
      <c r="I3205" s="94">
        <v>187922.84</v>
      </c>
      <c r="J3205" s="91">
        <v>57300.9</v>
      </c>
      <c r="K3205" s="25">
        <f t="shared" si="613"/>
        <v>6449776.2599999998</v>
      </c>
      <c r="L3205" s="95">
        <f t="shared" si="614"/>
        <v>60478166</v>
      </c>
      <c r="M3205" s="20"/>
      <c r="N3205" s="20"/>
      <c r="O3205" s="130"/>
      <c r="P3205" s="55">
        <v>9416486048</v>
      </c>
      <c r="Q3205" s="127">
        <v>44256</v>
      </c>
      <c r="R3205" s="14">
        <v>334800</v>
      </c>
      <c r="S3205" s="14">
        <v>428500</v>
      </c>
      <c r="U3205" s="3">
        <f>+U3203*12.5%</f>
        <v>3726883.35</v>
      </c>
      <c r="V3205" s="172" t="s">
        <v>2769</v>
      </c>
    </row>
    <row r="3206" spans="1:24" ht="16.5" hidden="1" customHeight="1" x14ac:dyDescent="0.25">
      <c r="B3206" s="89">
        <v>44326.083333333336</v>
      </c>
      <c r="C3206" s="92" t="s">
        <v>3013</v>
      </c>
      <c r="D3206" s="23"/>
      <c r="E3206" s="91">
        <v>6695000</v>
      </c>
      <c r="F3206" s="93"/>
      <c r="G3206" s="93">
        <f t="shared" si="612"/>
        <v>6695000</v>
      </c>
      <c r="H3206" s="94"/>
      <c r="I3206" s="94">
        <v>187922.84</v>
      </c>
      <c r="J3206" s="91">
        <v>57300.9</v>
      </c>
      <c r="K3206" s="25">
        <f t="shared" si="613"/>
        <v>6449776.2599999998</v>
      </c>
      <c r="L3206" s="95">
        <f t="shared" si="614"/>
        <v>53783166</v>
      </c>
      <c r="M3206" s="20">
        <v>6695000</v>
      </c>
      <c r="N3206" s="20">
        <f>+G3206-M3206</f>
        <v>0</v>
      </c>
      <c r="O3206" s="130"/>
      <c r="P3206" s="55">
        <v>9418721023</v>
      </c>
      <c r="Q3206" s="127">
        <v>44287</v>
      </c>
      <c r="R3206" s="14">
        <v>334800</v>
      </c>
      <c r="S3206" s="14">
        <v>428500</v>
      </c>
      <c r="U3206" s="3">
        <f>+U3203*16%</f>
        <v>4770410.6880000001</v>
      </c>
      <c r="V3206" s="173" t="s">
        <v>2771</v>
      </c>
    </row>
    <row r="3207" spans="1:24" ht="16.5" hidden="1" customHeight="1" x14ac:dyDescent="0.25">
      <c r="B3207" s="89">
        <v>44355.083333333336</v>
      </c>
      <c r="C3207" s="92" t="s">
        <v>3014</v>
      </c>
      <c r="D3207" s="23"/>
      <c r="E3207" s="91">
        <v>6695000</v>
      </c>
      <c r="F3207" s="93"/>
      <c r="G3207" s="93">
        <f t="shared" si="612"/>
        <v>6695000</v>
      </c>
      <c r="H3207" s="94"/>
      <c r="I3207" s="94">
        <v>187922.84</v>
      </c>
      <c r="J3207" s="91">
        <v>57300.9</v>
      </c>
      <c r="K3207" s="25">
        <f t="shared" si="613"/>
        <v>6449776.2599999998</v>
      </c>
      <c r="L3207" s="95">
        <f t="shared" si="614"/>
        <v>47088166</v>
      </c>
      <c r="M3207" s="20"/>
      <c r="N3207" s="20"/>
      <c r="O3207" s="130"/>
      <c r="P3207" s="55">
        <v>9420279336</v>
      </c>
      <c r="Q3207" s="127">
        <v>44317</v>
      </c>
      <c r="R3207" s="14">
        <v>334800</v>
      </c>
      <c r="S3207" s="14">
        <v>428500</v>
      </c>
    </row>
    <row r="3208" spans="1:24" ht="16.5" hidden="1" customHeight="1" x14ac:dyDescent="0.25">
      <c r="B3208" s="89">
        <v>44385.083333333336</v>
      </c>
      <c r="C3208" s="92" t="s">
        <v>3015</v>
      </c>
      <c r="D3208" s="23"/>
      <c r="E3208" s="91">
        <v>6695000</v>
      </c>
      <c r="F3208" s="93"/>
      <c r="G3208" s="93">
        <f t="shared" si="612"/>
        <v>6695000</v>
      </c>
      <c r="H3208" s="94"/>
      <c r="I3208" s="94">
        <v>187922.84</v>
      </c>
      <c r="J3208" s="91">
        <v>57300.9</v>
      </c>
      <c r="K3208" s="25">
        <f t="shared" si="613"/>
        <v>6449776.2599999998</v>
      </c>
      <c r="L3208" s="95">
        <f t="shared" si="614"/>
        <v>40393166</v>
      </c>
      <c r="M3208" s="20"/>
      <c r="N3208" s="20"/>
      <c r="O3208" s="130"/>
      <c r="P3208" s="55">
        <v>9421470304</v>
      </c>
      <c r="Q3208" s="127">
        <v>44348</v>
      </c>
      <c r="R3208" s="14">
        <v>334800</v>
      </c>
      <c r="S3208" s="14">
        <v>428500</v>
      </c>
      <c r="U3208" s="179">
        <f>+R3215-U3205</f>
        <v>69516.649999999907</v>
      </c>
    </row>
    <row r="3209" spans="1:24" ht="16.5" hidden="1" customHeight="1" x14ac:dyDescent="0.25">
      <c r="B3209" s="89">
        <v>44418.083333333336</v>
      </c>
      <c r="C3209" s="92" t="s">
        <v>3016</v>
      </c>
      <c r="D3209" s="23"/>
      <c r="E3209" s="91">
        <v>6695000</v>
      </c>
      <c r="F3209" s="93"/>
      <c r="G3209" s="93">
        <f t="shared" si="612"/>
        <v>6695000</v>
      </c>
      <c r="H3209" s="94"/>
      <c r="I3209" s="94">
        <v>187922.84</v>
      </c>
      <c r="J3209" s="91">
        <v>57300.9</v>
      </c>
      <c r="K3209" s="25">
        <f t="shared" si="613"/>
        <v>6449776.2599999998</v>
      </c>
      <c r="L3209" s="95">
        <f t="shared" si="614"/>
        <v>33698166</v>
      </c>
      <c r="M3209" s="20"/>
      <c r="N3209" s="20"/>
      <c r="O3209" s="130"/>
      <c r="P3209" s="55">
        <v>9422684155</v>
      </c>
      <c r="Q3209" s="127">
        <v>44378</v>
      </c>
      <c r="R3209" s="14">
        <v>334800</v>
      </c>
      <c r="S3209" s="14">
        <v>428500</v>
      </c>
      <c r="U3209" s="179">
        <f>+S3215-U3206</f>
        <v>88089.311999999918</v>
      </c>
      <c r="W3209" s="21">
        <v>6695000</v>
      </c>
      <c r="X3209" s="21">
        <f>+E3209-W3209</f>
        <v>0</v>
      </c>
    </row>
    <row r="3210" spans="1:24" ht="16.5" hidden="1" customHeight="1" x14ac:dyDescent="0.25">
      <c r="B3210" s="89">
        <v>44441.083333333336</v>
      </c>
      <c r="C3210" s="92" t="s">
        <v>3017</v>
      </c>
      <c r="D3210" s="23"/>
      <c r="E3210" s="91">
        <v>6695000</v>
      </c>
      <c r="F3210" s="93"/>
      <c r="G3210" s="93">
        <f t="shared" si="612"/>
        <v>6695000</v>
      </c>
      <c r="H3210" s="94"/>
      <c r="I3210" s="94">
        <v>187922.84</v>
      </c>
      <c r="J3210" s="91">
        <v>57300.9</v>
      </c>
      <c r="K3210" s="25">
        <f t="shared" si="613"/>
        <v>6449776.2599999998</v>
      </c>
      <c r="L3210" s="95">
        <f t="shared" si="614"/>
        <v>27003166</v>
      </c>
      <c r="M3210" s="20"/>
      <c r="N3210" s="20"/>
      <c r="O3210" s="130"/>
      <c r="P3210" s="84">
        <v>9423782379</v>
      </c>
      <c r="Q3210" s="127">
        <v>44409</v>
      </c>
      <c r="R3210" s="14">
        <v>334800</v>
      </c>
      <c r="S3210" s="14">
        <v>428500</v>
      </c>
    </row>
    <row r="3211" spans="1:24" ht="16.5" hidden="1" customHeight="1" x14ac:dyDescent="0.25">
      <c r="B3211" s="89">
        <v>44474.083333333336</v>
      </c>
      <c r="C3211" s="92" t="s">
        <v>3018</v>
      </c>
      <c r="D3211" s="23"/>
      <c r="E3211" s="91">
        <v>6695000</v>
      </c>
      <c r="F3211" s="93"/>
      <c r="G3211" s="93">
        <f t="shared" si="612"/>
        <v>6695000</v>
      </c>
      <c r="H3211" s="94"/>
      <c r="I3211" s="94">
        <v>187922.84</v>
      </c>
      <c r="J3211" s="91">
        <v>57300.9</v>
      </c>
      <c r="K3211" s="25">
        <f t="shared" si="613"/>
        <v>6449776.2599999998</v>
      </c>
      <c r="L3211" s="95">
        <f t="shared" si="614"/>
        <v>20308166</v>
      </c>
      <c r="M3211" s="20"/>
      <c r="N3211" s="20"/>
      <c r="O3211" s="130"/>
      <c r="P3211" s="84">
        <v>9425011356</v>
      </c>
      <c r="Q3211" s="127">
        <v>44440</v>
      </c>
      <c r="R3211" s="14">
        <v>334800</v>
      </c>
      <c r="S3211" s="14">
        <v>428500</v>
      </c>
    </row>
    <row r="3212" spans="1:24" ht="16.5" hidden="1" customHeight="1" x14ac:dyDescent="0.25">
      <c r="B3212" s="89">
        <v>44505.083333333336</v>
      </c>
      <c r="C3212" s="92" t="s">
        <v>3019</v>
      </c>
      <c r="D3212" s="23"/>
      <c r="E3212" s="91">
        <v>6695000</v>
      </c>
      <c r="F3212" s="93"/>
      <c r="G3212" s="93">
        <f t="shared" si="612"/>
        <v>6695000</v>
      </c>
      <c r="H3212" s="94"/>
      <c r="I3212" s="94">
        <v>187922.84</v>
      </c>
      <c r="J3212" s="91">
        <v>57300.9</v>
      </c>
      <c r="K3212" s="25">
        <f t="shared" si="613"/>
        <v>6449776.2599999998</v>
      </c>
      <c r="L3212" s="95">
        <f t="shared" si="614"/>
        <v>13613166</v>
      </c>
      <c r="M3212" s="20"/>
      <c r="N3212" s="20"/>
      <c r="O3212" s="130"/>
      <c r="P3212" s="84">
        <v>9426245588</v>
      </c>
      <c r="Q3212" s="127">
        <v>44470</v>
      </c>
      <c r="R3212" s="14">
        <v>334800</v>
      </c>
      <c r="S3212" s="14">
        <v>428500</v>
      </c>
    </row>
    <row r="3213" spans="1:24" ht="16.5" hidden="1" customHeight="1" x14ac:dyDescent="0.25">
      <c r="B3213" s="89">
        <v>44533.125</v>
      </c>
      <c r="C3213" s="92" t="s">
        <v>3020</v>
      </c>
      <c r="D3213" s="23"/>
      <c r="E3213" s="91">
        <v>6695000</v>
      </c>
      <c r="F3213" s="93"/>
      <c r="G3213" s="93">
        <f t="shared" si="612"/>
        <v>6695000</v>
      </c>
      <c r="H3213" s="94"/>
      <c r="I3213" s="94">
        <v>187922.84</v>
      </c>
      <c r="J3213" s="91">
        <v>57300.9</v>
      </c>
      <c r="K3213" s="25">
        <f t="shared" si="613"/>
        <v>6449776.2599999998</v>
      </c>
      <c r="L3213" s="95">
        <f t="shared" si="614"/>
        <v>6918166</v>
      </c>
      <c r="M3213" s="20"/>
      <c r="N3213" s="20"/>
      <c r="O3213" s="130"/>
      <c r="P3213" s="84">
        <v>9427472036</v>
      </c>
      <c r="Q3213" s="127">
        <v>44501</v>
      </c>
      <c r="R3213" s="14">
        <v>334800</v>
      </c>
      <c r="S3213" s="14">
        <v>428500</v>
      </c>
    </row>
    <row r="3214" spans="1:24" ht="16.5" hidden="1" customHeight="1" x14ac:dyDescent="0.25">
      <c r="B3214" s="89">
        <v>44552.125</v>
      </c>
      <c r="C3214" s="92" t="s">
        <v>3021</v>
      </c>
      <c r="D3214" s="23"/>
      <c r="E3214" s="91">
        <v>6695000</v>
      </c>
      <c r="F3214" s="93"/>
      <c r="G3214" s="93">
        <f t="shared" si="612"/>
        <v>6695000</v>
      </c>
      <c r="H3214" s="94"/>
      <c r="I3214" s="94">
        <v>187922.84</v>
      </c>
      <c r="J3214" s="91">
        <v>57300.9</v>
      </c>
      <c r="K3214" s="25">
        <f t="shared" si="613"/>
        <v>6449776.2599999998</v>
      </c>
      <c r="L3214" s="95">
        <f t="shared" si="614"/>
        <v>223166</v>
      </c>
      <c r="M3214" s="20"/>
      <c r="N3214" s="20"/>
      <c r="O3214" s="130"/>
      <c r="P3214" s="84">
        <v>9428176707</v>
      </c>
      <c r="Q3214" s="127">
        <v>44531</v>
      </c>
      <c r="R3214" s="14">
        <v>334800</v>
      </c>
      <c r="S3214" s="14">
        <v>428500</v>
      </c>
    </row>
    <row r="3215" spans="1:24" ht="16.5" hidden="1" customHeight="1" x14ac:dyDescent="0.25">
      <c r="B3215" s="89"/>
      <c r="C3215" s="92"/>
      <c r="D3215" s="23"/>
      <c r="E3215" s="91"/>
      <c r="F3215" s="93"/>
      <c r="G3215" s="93"/>
      <c r="H3215" s="94"/>
      <c r="I3215" s="94"/>
      <c r="J3215" s="91"/>
      <c r="K3215" s="25"/>
      <c r="L3215" s="95"/>
      <c r="M3215" s="20"/>
      <c r="N3215" s="20"/>
      <c r="O3215" s="130"/>
      <c r="P3215" s="84"/>
      <c r="Q3215" s="174"/>
      <c r="R3215" s="177">
        <f>SUM(R3203:R3214)</f>
        <v>3796400</v>
      </c>
      <c r="S3215" s="178">
        <f>SUM(S3203:S3214)</f>
        <v>4858500</v>
      </c>
    </row>
    <row r="3216" spans="1:24" ht="16.5" hidden="1" customHeight="1" x14ac:dyDescent="0.25">
      <c r="A3216" s="21">
        <v>1432021</v>
      </c>
      <c r="B3216" s="139" t="s">
        <v>3022</v>
      </c>
      <c r="C3216" s="140"/>
      <c r="D3216" s="141">
        <v>91206500</v>
      </c>
      <c r="E3216" s="141">
        <f>+D3216</f>
        <v>91206500</v>
      </c>
      <c r="F3216" s="141"/>
      <c r="G3216" s="141"/>
      <c r="H3216" s="141"/>
      <c r="I3216" s="141"/>
      <c r="J3216" s="141"/>
      <c r="K3216" s="141"/>
      <c r="L3216" s="141">
        <f>+D3216</f>
        <v>91206500</v>
      </c>
      <c r="M3216" s="142"/>
      <c r="N3216" s="142"/>
    </row>
    <row r="3217" spans="1:24" ht="16.5" hidden="1" customHeight="1" x14ac:dyDescent="0.25">
      <c r="B3217" s="89">
        <v>44235.125</v>
      </c>
      <c r="C3217" s="92" t="s">
        <v>3023</v>
      </c>
      <c r="D3217" s="23"/>
      <c r="E3217" s="91">
        <v>1321833</v>
      </c>
      <c r="F3217" s="93"/>
      <c r="G3217" s="93">
        <f t="shared" ref="G3217:G3228" si="615">+E3217</f>
        <v>1321833</v>
      </c>
      <c r="H3217" s="94"/>
      <c r="I3217" s="94"/>
      <c r="J3217" s="91">
        <v>11313.25</v>
      </c>
      <c r="K3217" s="25">
        <f t="shared" ref="K3217:K3228" si="616">+G3217-H3217-I3217-J3217</f>
        <v>1310519.75</v>
      </c>
      <c r="L3217" s="95">
        <f t="shared" ref="L3217:L3228" si="617">+L3216-G3217</f>
        <v>89884667</v>
      </c>
      <c r="M3217" s="96"/>
      <c r="N3217" s="96"/>
      <c r="O3217" s="149">
        <f>+VLOOKUP(A3216,'[1]ANEXO 7 - PPTO VIG 2021'!$H$8:$AB$160,21,)-L3228</f>
        <v>-2643667</v>
      </c>
      <c r="P3217" s="55">
        <v>859021286</v>
      </c>
      <c r="Q3217" s="127">
        <v>44197</v>
      </c>
      <c r="R3217" s="14">
        <v>113600</v>
      </c>
      <c r="S3217" s="14">
        <v>145000</v>
      </c>
      <c r="T3217" s="3">
        <f>+L3216-2643667</f>
        <v>88562833</v>
      </c>
      <c r="U3217" s="3">
        <f>+T3217*40%</f>
        <v>35425133.200000003</v>
      </c>
    </row>
    <row r="3218" spans="1:24" ht="16.5" hidden="1" customHeight="1" x14ac:dyDescent="0.25">
      <c r="B3218" s="89">
        <v>44267.125</v>
      </c>
      <c r="C3218" s="92" t="s">
        <v>3024</v>
      </c>
      <c r="D3218" s="23"/>
      <c r="E3218" s="91">
        <v>7931000</v>
      </c>
      <c r="F3218" s="93"/>
      <c r="G3218" s="93">
        <f t="shared" si="615"/>
        <v>7931000</v>
      </c>
      <c r="H3218" s="94"/>
      <c r="I3218" s="94">
        <v>212449.73</v>
      </c>
      <c r="J3218" s="91">
        <v>67879.53</v>
      </c>
      <c r="K3218" s="25">
        <f t="shared" si="616"/>
        <v>7650670.7399999993</v>
      </c>
      <c r="L3218" s="95">
        <f t="shared" si="617"/>
        <v>81953667</v>
      </c>
      <c r="M3218" s="96"/>
      <c r="N3218" s="96"/>
      <c r="O3218" s="130"/>
      <c r="P3218" s="84">
        <v>48791265</v>
      </c>
      <c r="Q3218" s="127">
        <v>44228</v>
      </c>
      <c r="R3218" s="14">
        <v>396600</v>
      </c>
      <c r="S3218" s="14">
        <v>507600</v>
      </c>
      <c r="U3218" s="3"/>
    </row>
    <row r="3219" spans="1:24" ht="16.5" hidden="1" customHeight="1" x14ac:dyDescent="0.25">
      <c r="B3219" s="89">
        <v>44299.083333333336</v>
      </c>
      <c r="C3219" s="92" t="s">
        <v>3025</v>
      </c>
      <c r="D3219" s="23"/>
      <c r="E3219" s="91">
        <v>7931000</v>
      </c>
      <c r="F3219" s="93"/>
      <c r="G3219" s="93">
        <f t="shared" si="615"/>
        <v>7931000</v>
      </c>
      <c r="H3219" s="94"/>
      <c r="I3219" s="91">
        <v>212449.73</v>
      </c>
      <c r="J3219" s="91">
        <v>67879.53</v>
      </c>
      <c r="K3219" s="25">
        <f t="shared" si="616"/>
        <v>7650670.7399999993</v>
      </c>
      <c r="L3219" s="95">
        <f t="shared" si="617"/>
        <v>74022667</v>
      </c>
      <c r="M3219" s="96"/>
      <c r="N3219" s="96"/>
      <c r="O3219" s="130"/>
      <c r="P3219" s="84">
        <v>927823357</v>
      </c>
      <c r="Q3219" s="127">
        <v>44256</v>
      </c>
      <c r="R3219" s="14">
        <v>396600</v>
      </c>
      <c r="S3219" s="14">
        <v>507600</v>
      </c>
      <c r="U3219" s="3">
        <f>+U3217*12.5%</f>
        <v>4428141.6500000004</v>
      </c>
      <c r="V3219" s="172" t="s">
        <v>2769</v>
      </c>
    </row>
    <row r="3220" spans="1:24" ht="16.5" hidden="1" customHeight="1" x14ac:dyDescent="0.25">
      <c r="B3220" s="89">
        <v>44326.083333333336</v>
      </c>
      <c r="C3220" s="92" t="s">
        <v>3026</v>
      </c>
      <c r="D3220" s="23"/>
      <c r="E3220" s="91">
        <v>7931000</v>
      </c>
      <c r="F3220" s="93"/>
      <c r="G3220" s="93">
        <f t="shared" si="615"/>
        <v>7931000</v>
      </c>
      <c r="H3220" s="94"/>
      <c r="I3220" s="94">
        <v>230586.77</v>
      </c>
      <c r="J3220" s="91">
        <v>67879.53</v>
      </c>
      <c r="K3220" s="25">
        <f t="shared" si="616"/>
        <v>7632533.7000000002</v>
      </c>
      <c r="L3220" s="95">
        <f t="shared" si="617"/>
        <v>66091667</v>
      </c>
      <c r="M3220" s="20">
        <v>7931000</v>
      </c>
      <c r="N3220" s="20">
        <f>+G3220-M3220</f>
        <v>0</v>
      </c>
      <c r="O3220" s="130"/>
      <c r="P3220" s="55">
        <v>958652087</v>
      </c>
      <c r="Q3220" s="127">
        <v>44287</v>
      </c>
      <c r="R3220" s="14">
        <v>396600</v>
      </c>
      <c r="S3220" s="14">
        <v>507600</v>
      </c>
      <c r="U3220" s="3">
        <f>+U3217*16%</f>
        <v>5668021.3120000008</v>
      </c>
      <c r="V3220" s="173" t="s">
        <v>2771</v>
      </c>
    </row>
    <row r="3221" spans="1:24" ht="16.5" hidden="1" customHeight="1" x14ac:dyDescent="0.25">
      <c r="B3221" s="89">
        <v>44356.083333333336</v>
      </c>
      <c r="C3221" s="92" t="s">
        <v>3027</v>
      </c>
      <c r="D3221" s="23"/>
      <c r="E3221" s="91">
        <v>7931000</v>
      </c>
      <c r="F3221" s="93"/>
      <c r="G3221" s="93">
        <f t="shared" si="615"/>
        <v>7931000</v>
      </c>
      <c r="H3221" s="94"/>
      <c r="I3221" s="94">
        <v>230586.77</v>
      </c>
      <c r="J3221" s="91">
        <v>67879.53</v>
      </c>
      <c r="K3221" s="25">
        <f t="shared" si="616"/>
        <v>7632533.7000000002</v>
      </c>
      <c r="L3221" s="95">
        <f t="shared" si="617"/>
        <v>58160667</v>
      </c>
      <c r="M3221" s="20"/>
      <c r="N3221" s="20"/>
      <c r="O3221" s="130"/>
      <c r="P3221" s="84">
        <v>990439908</v>
      </c>
      <c r="Q3221" s="174">
        <v>44317</v>
      </c>
      <c r="R3221" s="125">
        <v>396600</v>
      </c>
      <c r="S3221" s="125">
        <v>507600</v>
      </c>
    </row>
    <row r="3222" spans="1:24" ht="16.5" hidden="1" customHeight="1" x14ac:dyDescent="0.25">
      <c r="B3222" s="89">
        <v>44385.083333333336</v>
      </c>
      <c r="C3222" s="92" t="s">
        <v>3028</v>
      </c>
      <c r="D3222" s="23"/>
      <c r="E3222" s="91">
        <v>7931000</v>
      </c>
      <c r="F3222" s="93"/>
      <c r="G3222" s="93">
        <f t="shared" si="615"/>
        <v>7931000</v>
      </c>
      <c r="H3222" s="94"/>
      <c r="I3222" s="94">
        <v>212449.73</v>
      </c>
      <c r="J3222" s="91">
        <v>67879.53</v>
      </c>
      <c r="K3222" s="25">
        <f t="shared" si="616"/>
        <v>7650670.7399999993</v>
      </c>
      <c r="L3222" s="95">
        <f t="shared" si="617"/>
        <v>50229667</v>
      </c>
      <c r="M3222" s="20"/>
      <c r="N3222" s="20"/>
      <c r="O3222" s="130"/>
      <c r="P3222" s="84">
        <v>51558691</v>
      </c>
      <c r="Q3222" s="174">
        <v>44348</v>
      </c>
      <c r="R3222" s="125">
        <v>396600</v>
      </c>
      <c r="S3222" s="125">
        <v>507600</v>
      </c>
    </row>
    <row r="3223" spans="1:24" ht="16.5" hidden="1" customHeight="1" x14ac:dyDescent="0.25">
      <c r="B3223" s="89">
        <v>44420.083333333336</v>
      </c>
      <c r="C3223" s="92" t="s">
        <v>3029</v>
      </c>
      <c r="D3223" s="23"/>
      <c r="E3223" s="91">
        <v>7931000</v>
      </c>
      <c r="F3223" s="93"/>
      <c r="G3223" s="93">
        <f t="shared" si="615"/>
        <v>7931000</v>
      </c>
      <c r="H3223" s="94"/>
      <c r="I3223" s="94">
        <v>230586.77</v>
      </c>
      <c r="J3223" s="91">
        <v>67879.53</v>
      </c>
      <c r="K3223" s="25">
        <f t="shared" si="616"/>
        <v>7632533.7000000002</v>
      </c>
      <c r="L3223" s="95">
        <f t="shared" si="617"/>
        <v>42298667</v>
      </c>
      <c r="M3223" s="20"/>
      <c r="N3223" s="20"/>
      <c r="O3223" s="130"/>
      <c r="P3223" s="84">
        <v>51967502</v>
      </c>
      <c r="Q3223" s="174">
        <v>44378</v>
      </c>
      <c r="R3223" s="125">
        <v>396600</v>
      </c>
      <c r="S3223" s="125">
        <v>507600</v>
      </c>
      <c r="W3223" s="31">
        <v>7931000</v>
      </c>
      <c r="X3223" s="131">
        <f>+E3223-W3223</f>
        <v>0</v>
      </c>
    </row>
    <row r="3224" spans="1:24" ht="16.5" hidden="1" customHeight="1" x14ac:dyDescent="0.25">
      <c r="B3224" s="89">
        <v>44447.083333333336</v>
      </c>
      <c r="C3224" s="92" t="s">
        <v>3030</v>
      </c>
      <c r="D3224" s="23"/>
      <c r="E3224" s="91">
        <v>7931000</v>
      </c>
      <c r="F3224" s="93"/>
      <c r="G3224" s="93">
        <f t="shared" si="615"/>
        <v>7931000</v>
      </c>
      <c r="H3224" s="94"/>
      <c r="I3224" s="94">
        <v>230586.77</v>
      </c>
      <c r="J3224" s="91">
        <v>67879.53</v>
      </c>
      <c r="K3224" s="25">
        <f t="shared" si="616"/>
        <v>7632533.7000000002</v>
      </c>
      <c r="L3224" s="95">
        <f t="shared" si="617"/>
        <v>34367667</v>
      </c>
      <c r="M3224" s="20"/>
      <c r="N3224" s="20"/>
      <c r="O3224" s="130"/>
      <c r="P3224" s="84">
        <v>52578589</v>
      </c>
      <c r="Q3224" s="174">
        <v>44409</v>
      </c>
      <c r="R3224" s="125">
        <v>396600</v>
      </c>
      <c r="S3224" s="125">
        <v>507600</v>
      </c>
      <c r="W3224" s="31"/>
      <c r="X3224" s="131"/>
    </row>
    <row r="3225" spans="1:24" ht="16.5" hidden="1" customHeight="1" x14ac:dyDescent="0.25">
      <c r="B3225" s="89">
        <v>44481.083333333336</v>
      </c>
      <c r="C3225" s="92" t="s">
        <v>3031</v>
      </c>
      <c r="D3225" s="23"/>
      <c r="E3225" s="91">
        <v>7931000</v>
      </c>
      <c r="F3225" s="93"/>
      <c r="G3225" s="93">
        <f t="shared" si="615"/>
        <v>7931000</v>
      </c>
      <c r="H3225" s="94"/>
      <c r="I3225" s="94">
        <v>230586.77</v>
      </c>
      <c r="J3225" s="91">
        <v>67879.53</v>
      </c>
      <c r="K3225" s="25">
        <f t="shared" si="616"/>
        <v>7632533.7000000002</v>
      </c>
      <c r="L3225" s="95">
        <f t="shared" si="617"/>
        <v>26436667</v>
      </c>
      <c r="M3225" s="20"/>
      <c r="N3225" s="20"/>
      <c r="O3225" s="130"/>
      <c r="P3225" s="84">
        <v>53305222</v>
      </c>
      <c r="Q3225" s="174">
        <v>44440</v>
      </c>
      <c r="R3225" s="125">
        <v>396600</v>
      </c>
      <c r="S3225" s="125">
        <v>507600</v>
      </c>
      <c r="W3225" s="31"/>
      <c r="X3225" s="131"/>
    </row>
    <row r="3226" spans="1:24" ht="16.5" hidden="1" customHeight="1" x14ac:dyDescent="0.25">
      <c r="B3226" s="89">
        <v>44512.125</v>
      </c>
      <c r="C3226" s="92" t="s">
        <v>3032</v>
      </c>
      <c r="D3226" s="23"/>
      <c r="E3226" s="91">
        <v>7931000</v>
      </c>
      <c r="F3226" s="93"/>
      <c r="G3226" s="93">
        <f t="shared" si="615"/>
        <v>7931000</v>
      </c>
      <c r="H3226" s="94"/>
      <c r="I3226" s="94">
        <v>230586.77</v>
      </c>
      <c r="J3226" s="91">
        <v>67879.53</v>
      </c>
      <c r="K3226" s="25">
        <f t="shared" si="616"/>
        <v>7632533.7000000002</v>
      </c>
      <c r="L3226" s="95">
        <f t="shared" si="617"/>
        <v>18505667</v>
      </c>
      <c r="M3226" s="20"/>
      <c r="N3226" s="20"/>
      <c r="O3226" s="130"/>
      <c r="P3226" s="84">
        <v>53976391</v>
      </c>
      <c r="Q3226" s="174">
        <v>44470</v>
      </c>
      <c r="R3226" s="125">
        <v>396600</v>
      </c>
      <c r="S3226" s="125">
        <v>507600</v>
      </c>
      <c r="W3226" s="31"/>
      <c r="X3226" s="131"/>
    </row>
    <row r="3227" spans="1:24" ht="16.5" hidden="1" customHeight="1" x14ac:dyDescent="0.25">
      <c r="B3227" s="89">
        <v>44539.125</v>
      </c>
      <c r="C3227" s="92" t="s">
        <v>3033</v>
      </c>
      <c r="D3227" s="23"/>
      <c r="E3227" s="91">
        <v>7931000</v>
      </c>
      <c r="F3227" s="93"/>
      <c r="G3227" s="93">
        <f t="shared" si="615"/>
        <v>7931000</v>
      </c>
      <c r="H3227" s="94"/>
      <c r="I3227" s="94">
        <v>230586.77</v>
      </c>
      <c r="J3227" s="91">
        <v>67879.53</v>
      </c>
      <c r="K3227" s="25">
        <f t="shared" si="616"/>
        <v>7632533.7000000002</v>
      </c>
      <c r="L3227" s="95">
        <f t="shared" si="617"/>
        <v>10574667</v>
      </c>
      <c r="M3227" s="20"/>
      <c r="N3227" s="20"/>
      <c r="O3227" s="130"/>
      <c r="P3227" s="84">
        <v>54565133</v>
      </c>
      <c r="Q3227" s="174">
        <v>44501</v>
      </c>
      <c r="R3227" s="125">
        <v>396600</v>
      </c>
      <c r="S3227" s="125">
        <v>507600</v>
      </c>
      <c r="W3227" s="31"/>
      <c r="X3227" s="131"/>
    </row>
    <row r="3228" spans="1:24" ht="16.5" hidden="1" customHeight="1" x14ac:dyDescent="0.25">
      <c r="B3228" s="89">
        <v>44551.125</v>
      </c>
      <c r="C3228" s="92" t="s">
        <v>3034</v>
      </c>
      <c r="D3228" s="23"/>
      <c r="E3228" s="91">
        <v>7931000</v>
      </c>
      <c r="F3228" s="93"/>
      <c r="G3228" s="93">
        <f t="shared" si="615"/>
        <v>7931000</v>
      </c>
      <c r="H3228" s="94"/>
      <c r="I3228" s="94">
        <v>230586.77</v>
      </c>
      <c r="J3228" s="91">
        <v>67879.53</v>
      </c>
      <c r="K3228" s="25">
        <f t="shared" si="616"/>
        <v>7632533.7000000002</v>
      </c>
      <c r="L3228" s="95">
        <f t="shared" si="617"/>
        <v>2643667</v>
      </c>
      <c r="M3228" s="20"/>
      <c r="N3228" s="20"/>
      <c r="O3228" s="130"/>
      <c r="P3228" s="84">
        <v>55120656</v>
      </c>
      <c r="Q3228" s="174">
        <v>44531</v>
      </c>
      <c r="R3228" s="125">
        <v>396600</v>
      </c>
      <c r="S3228" s="125">
        <v>507600</v>
      </c>
      <c r="W3228" s="31"/>
      <c r="X3228" s="131"/>
    </row>
    <row r="3229" spans="1:24" ht="16.5" hidden="1" customHeight="1" x14ac:dyDescent="0.25">
      <c r="B3229" s="89"/>
      <c r="C3229" s="92"/>
      <c r="D3229" s="23"/>
      <c r="E3229" s="91"/>
      <c r="F3229" s="93"/>
      <c r="G3229" s="93"/>
      <c r="H3229" s="94"/>
      <c r="I3229" s="94"/>
      <c r="J3229" s="91"/>
      <c r="K3229" s="25"/>
      <c r="L3229" s="95"/>
      <c r="M3229" s="20"/>
      <c r="N3229" s="20"/>
      <c r="O3229" s="130"/>
      <c r="P3229" s="84"/>
      <c r="Q3229" s="174"/>
      <c r="R3229" s="177">
        <f>SUM(R3217:R3228)</f>
        <v>4476200</v>
      </c>
      <c r="S3229" s="178">
        <f>SUM(S3217:S3228)</f>
        <v>5728600</v>
      </c>
      <c r="W3229" s="31"/>
      <c r="X3229" s="131"/>
    </row>
    <row r="3230" spans="1:24" ht="16.5" hidden="1" customHeight="1" x14ac:dyDescent="0.25">
      <c r="A3230" s="21">
        <v>752021</v>
      </c>
      <c r="B3230" s="139" t="s">
        <v>3035</v>
      </c>
      <c r="C3230" s="140"/>
      <c r="D3230" s="141">
        <v>110158500</v>
      </c>
      <c r="E3230" s="141">
        <f>+D3230</f>
        <v>110158500</v>
      </c>
      <c r="F3230" s="141"/>
      <c r="G3230" s="141"/>
      <c r="H3230" s="141"/>
      <c r="I3230" s="141"/>
      <c r="J3230" s="141"/>
      <c r="K3230" s="141"/>
      <c r="L3230" s="141">
        <f>+D3230</f>
        <v>110158500</v>
      </c>
      <c r="M3230" s="142"/>
      <c r="N3230" s="142"/>
    </row>
    <row r="3231" spans="1:24" ht="16.5" hidden="1" customHeight="1" x14ac:dyDescent="0.25">
      <c r="B3231" s="89">
        <v>44244.125</v>
      </c>
      <c r="C3231" s="92" t="s">
        <v>3036</v>
      </c>
      <c r="D3231" s="23"/>
      <c r="E3231" s="91">
        <v>3193000</v>
      </c>
      <c r="F3231" s="93"/>
      <c r="G3231" s="93">
        <f t="shared" ref="G3231:G3242" si="618">+E3231</f>
        <v>3193000</v>
      </c>
      <c r="H3231" s="94"/>
      <c r="I3231" s="94"/>
      <c r="J3231" s="91">
        <v>27328.12</v>
      </c>
      <c r="K3231" s="25">
        <f t="shared" ref="K3231:K3242" si="619">+G3231-H3231-I3231-J3231</f>
        <v>3165671.88</v>
      </c>
      <c r="L3231" s="95">
        <f t="shared" ref="L3231:L3242" si="620">+L3230-G3231</f>
        <v>106965500</v>
      </c>
      <c r="M3231" s="96"/>
      <c r="N3231" s="96"/>
      <c r="O3231" s="149">
        <f>+VLOOKUP(A3230,'[1]ANEXO 7 - PPTO VIG 2021'!$H$8:$AB$160,21,)-L3242</f>
        <v>-1596500</v>
      </c>
      <c r="P3231" s="55">
        <v>4374565115</v>
      </c>
      <c r="Q3231" s="127">
        <v>44197</v>
      </c>
      <c r="R3231" s="14">
        <v>239500</v>
      </c>
      <c r="S3231" s="14">
        <v>306600</v>
      </c>
      <c r="T3231" s="3">
        <f>+L3230-1596500</f>
        <v>108562000</v>
      </c>
      <c r="U3231" s="3">
        <f>+T3231*40%</f>
        <v>43424800</v>
      </c>
    </row>
    <row r="3232" spans="1:24" ht="16.5" hidden="1" customHeight="1" x14ac:dyDescent="0.25">
      <c r="B3232" s="89">
        <v>44267.125</v>
      </c>
      <c r="C3232" s="92" t="s">
        <v>3037</v>
      </c>
      <c r="D3232" s="23"/>
      <c r="E3232" s="91">
        <v>9579000</v>
      </c>
      <c r="F3232" s="93"/>
      <c r="G3232" s="93">
        <f t="shared" si="618"/>
        <v>9579000</v>
      </c>
      <c r="H3232" s="94"/>
      <c r="I3232" s="94">
        <v>558751.73</v>
      </c>
      <c r="J3232" s="91">
        <v>81984.36</v>
      </c>
      <c r="K3232" s="25">
        <f t="shared" si="619"/>
        <v>8938263.9100000001</v>
      </c>
      <c r="L3232" s="95">
        <f t="shared" si="620"/>
        <v>97386500</v>
      </c>
      <c r="M3232" s="96"/>
      <c r="N3232" s="96"/>
      <c r="O3232" s="130"/>
      <c r="P3232" s="84">
        <v>4378293438</v>
      </c>
      <c r="Q3232" s="127">
        <v>44228</v>
      </c>
      <c r="R3232" s="14">
        <v>759200</v>
      </c>
      <c r="S3232" s="14">
        <v>1010200</v>
      </c>
      <c r="U3232" s="3"/>
      <c r="V3232" s="3"/>
    </row>
    <row r="3233" spans="1:24" ht="16.5" hidden="1" customHeight="1" x14ac:dyDescent="0.25">
      <c r="B3233" s="89">
        <v>44293.083333333336</v>
      </c>
      <c r="C3233" s="92" t="s">
        <v>3038</v>
      </c>
      <c r="D3233" s="23"/>
      <c r="E3233" s="91">
        <v>9579000</v>
      </c>
      <c r="F3233" s="93"/>
      <c r="G3233" s="93">
        <f t="shared" si="618"/>
        <v>9579000</v>
      </c>
      <c r="H3233" s="91">
        <v>229413.03</v>
      </c>
      <c r="I3233" s="91">
        <v>314510.64</v>
      </c>
      <c r="J3233" s="91">
        <v>68894.42</v>
      </c>
      <c r="K3233" s="25">
        <f t="shared" si="619"/>
        <v>8966181.9100000001</v>
      </c>
      <c r="L3233" s="95">
        <f t="shared" si="620"/>
        <v>87807500</v>
      </c>
      <c r="M3233" s="96"/>
      <c r="N3233" s="96"/>
      <c r="O3233" s="130"/>
      <c r="P3233" s="55">
        <v>4382157255</v>
      </c>
      <c r="Q3233" s="127">
        <v>44256</v>
      </c>
      <c r="R3233" s="14">
        <v>479000</v>
      </c>
      <c r="S3233" s="14">
        <v>651500</v>
      </c>
      <c r="U3233" s="3">
        <f>+U3231*12.5%</f>
        <v>5428100</v>
      </c>
      <c r="V3233" s="172" t="s">
        <v>2769</v>
      </c>
    </row>
    <row r="3234" spans="1:24" ht="16.5" hidden="1" customHeight="1" x14ac:dyDescent="0.25">
      <c r="B3234" s="89">
        <v>44323.083333333336</v>
      </c>
      <c r="C3234" s="92" t="s">
        <v>3039</v>
      </c>
      <c r="D3234" s="23"/>
      <c r="E3234" s="91">
        <v>9579000</v>
      </c>
      <c r="F3234" s="93"/>
      <c r="G3234" s="93">
        <f t="shared" si="618"/>
        <v>9579000</v>
      </c>
      <c r="H3234" s="94">
        <v>229413.03</v>
      </c>
      <c r="I3234" s="94">
        <v>314239.89</v>
      </c>
      <c r="J3234" s="91">
        <v>68894.42</v>
      </c>
      <c r="K3234" s="25">
        <f t="shared" si="619"/>
        <v>8966452.6600000001</v>
      </c>
      <c r="L3234" s="95">
        <f t="shared" si="620"/>
        <v>78228500</v>
      </c>
      <c r="M3234" s="20">
        <v>9579000</v>
      </c>
      <c r="N3234" s="20">
        <f>+G3234-M3234</f>
        <v>0</v>
      </c>
      <c r="O3234" s="130"/>
      <c r="P3234" s="55">
        <v>4386725843</v>
      </c>
      <c r="Q3234" s="127">
        <v>44287</v>
      </c>
      <c r="R3234" s="14">
        <v>525300</v>
      </c>
      <c r="S3234" s="14">
        <v>714600</v>
      </c>
      <c r="U3234" s="3">
        <f>+U3231*16%</f>
        <v>6947968</v>
      </c>
      <c r="V3234" s="173" t="s">
        <v>2771</v>
      </c>
    </row>
    <row r="3235" spans="1:24" ht="16.5" hidden="1" customHeight="1" x14ac:dyDescent="0.25">
      <c r="B3235" s="89">
        <v>44350.083333333336</v>
      </c>
      <c r="C3235" s="92" t="s">
        <v>3040</v>
      </c>
      <c r="D3235" s="23"/>
      <c r="E3235" s="91">
        <v>9579000</v>
      </c>
      <c r="F3235" s="93"/>
      <c r="G3235" s="93">
        <f t="shared" si="618"/>
        <v>9579000</v>
      </c>
      <c r="H3235" s="94">
        <v>229413.03</v>
      </c>
      <c r="I3235" s="94">
        <v>314239.89</v>
      </c>
      <c r="J3235" s="91">
        <v>68894.42</v>
      </c>
      <c r="K3235" s="25">
        <f t="shared" si="619"/>
        <v>8966452.6600000001</v>
      </c>
      <c r="L3235" s="95">
        <f t="shared" si="620"/>
        <v>68649500</v>
      </c>
      <c r="M3235" s="20"/>
      <c r="N3235" s="20"/>
      <c r="O3235" s="130"/>
      <c r="P3235" s="84">
        <v>4389752353</v>
      </c>
      <c r="Q3235" s="174">
        <v>44317</v>
      </c>
      <c r="R3235" s="125">
        <v>525300</v>
      </c>
      <c r="S3235" s="125">
        <v>714600</v>
      </c>
    </row>
    <row r="3236" spans="1:24" ht="16.5" hidden="1" customHeight="1" x14ac:dyDescent="0.25">
      <c r="B3236" s="89">
        <v>44386.083333333336</v>
      </c>
      <c r="C3236" s="92" t="s">
        <v>3041</v>
      </c>
      <c r="D3236" s="23"/>
      <c r="E3236" s="91">
        <v>9579000</v>
      </c>
      <c r="F3236" s="93"/>
      <c r="G3236" s="93">
        <f t="shared" si="618"/>
        <v>9579000</v>
      </c>
      <c r="H3236" s="94">
        <v>229413.03</v>
      </c>
      <c r="I3236" s="94">
        <v>314510.64</v>
      </c>
      <c r="J3236" s="91">
        <v>68894.42</v>
      </c>
      <c r="K3236" s="25">
        <f t="shared" si="619"/>
        <v>8966181.9100000001</v>
      </c>
      <c r="L3236" s="95">
        <f t="shared" si="620"/>
        <v>59070500</v>
      </c>
      <c r="M3236" s="20"/>
      <c r="N3236" s="20"/>
      <c r="O3236" s="130"/>
      <c r="P3236" s="84">
        <v>4394842921</v>
      </c>
      <c r="Q3236" s="174">
        <v>44348</v>
      </c>
      <c r="R3236" s="125">
        <v>525300</v>
      </c>
      <c r="S3236" s="125">
        <v>714600</v>
      </c>
    </row>
    <row r="3237" spans="1:24" ht="16.5" hidden="1" customHeight="1" x14ac:dyDescent="0.25">
      <c r="B3237" s="89">
        <v>44418.083333333336</v>
      </c>
      <c r="C3237" s="92" t="s">
        <v>3042</v>
      </c>
      <c r="D3237" s="23"/>
      <c r="E3237" s="91">
        <v>9579000</v>
      </c>
      <c r="F3237" s="93"/>
      <c r="G3237" s="93">
        <f t="shared" si="618"/>
        <v>9579000</v>
      </c>
      <c r="H3237" s="94">
        <v>1436850</v>
      </c>
      <c r="I3237" s="94">
        <v>314510.64</v>
      </c>
      <c r="J3237" s="91">
        <v>68894.42</v>
      </c>
      <c r="K3237" s="25">
        <f t="shared" si="619"/>
        <v>7758744.9400000004</v>
      </c>
      <c r="L3237" s="95">
        <f t="shared" si="620"/>
        <v>49491500</v>
      </c>
      <c r="M3237" s="20"/>
      <c r="N3237" s="20"/>
      <c r="O3237" s="130"/>
      <c r="P3237" s="84">
        <v>4402867648</v>
      </c>
      <c r="Q3237" s="174">
        <v>44378</v>
      </c>
      <c r="R3237" s="125">
        <v>525300</v>
      </c>
      <c r="S3237" s="125">
        <v>714600</v>
      </c>
      <c r="W3237" s="31" t="e">
        <v>#N/A</v>
      </c>
      <c r="X3237" s="131" t="e">
        <f>+E3237-W3237</f>
        <v>#N/A</v>
      </c>
    </row>
    <row r="3238" spans="1:24" ht="16.5" hidden="1" customHeight="1" x14ac:dyDescent="0.25">
      <c r="B3238" s="89">
        <v>44448.083333333336</v>
      </c>
      <c r="C3238" s="92" t="s">
        <v>3043</v>
      </c>
      <c r="D3238" s="23"/>
      <c r="E3238" s="91">
        <v>9579000</v>
      </c>
      <c r="F3238" s="93"/>
      <c r="G3238" s="93">
        <f t="shared" si="618"/>
        <v>9579000</v>
      </c>
      <c r="H3238" s="94">
        <v>229413.03</v>
      </c>
      <c r="I3238" s="94">
        <v>353487.79</v>
      </c>
      <c r="J3238" s="91">
        <v>68894.42</v>
      </c>
      <c r="K3238" s="25">
        <f t="shared" si="619"/>
        <v>8927204.7600000016</v>
      </c>
      <c r="L3238" s="95">
        <f t="shared" si="620"/>
        <v>39912500</v>
      </c>
      <c r="M3238" s="20"/>
      <c r="N3238" s="20"/>
      <c r="O3238" s="130"/>
      <c r="P3238" s="84">
        <v>4407016328</v>
      </c>
      <c r="Q3238" s="174">
        <v>44409</v>
      </c>
      <c r="R3238" s="125">
        <v>479000</v>
      </c>
      <c r="S3238" s="125">
        <v>651500</v>
      </c>
      <c r="W3238" s="31"/>
      <c r="X3238" s="131"/>
    </row>
    <row r="3239" spans="1:24" ht="16.5" hidden="1" customHeight="1" x14ac:dyDescent="0.25">
      <c r="B3239" s="89">
        <v>44480.083333333336</v>
      </c>
      <c r="C3239" s="92" t="s">
        <v>3044</v>
      </c>
      <c r="D3239" s="23"/>
      <c r="E3239" s="91">
        <v>9579000</v>
      </c>
      <c r="F3239" s="93"/>
      <c r="G3239" s="93">
        <f t="shared" si="618"/>
        <v>9579000</v>
      </c>
      <c r="H3239" s="94">
        <v>229413.03</v>
      </c>
      <c r="I3239" s="94">
        <v>353217.04</v>
      </c>
      <c r="J3239" s="91">
        <v>68894.42</v>
      </c>
      <c r="K3239" s="25">
        <f t="shared" si="619"/>
        <v>8927475.5100000016</v>
      </c>
      <c r="L3239" s="95">
        <f t="shared" si="620"/>
        <v>30333500</v>
      </c>
      <c r="M3239" s="20"/>
      <c r="N3239" s="20"/>
      <c r="O3239" s="130"/>
      <c r="P3239" s="84">
        <v>4412034938</v>
      </c>
      <c r="Q3239" s="174">
        <v>44440</v>
      </c>
      <c r="R3239" s="125">
        <v>525300</v>
      </c>
      <c r="S3239" s="125">
        <v>714600</v>
      </c>
      <c r="W3239" s="31"/>
      <c r="X3239" s="131"/>
    </row>
    <row r="3240" spans="1:24" ht="16.5" hidden="1" customHeight="1" x14ac:dyDescent="0.25">
      <c r="B3240" s="89">
        <v>44509.125</v>
      </c>
      <c r="C3240" s="92" t="s">
        <v>3045</v>
      </c>
      <c r="D3240" s="23"/>
      <c r="E3240" s="91">
        <v>9579000</v>
      </c>
      <c r="F3240" s="93"/>
      <c r="G3240" s="93">
        <f t="shared" si="618"/>
        <v>9579000</v>
      </c>
      <c r="H3240" s="94">
        <v>229413.03</v>
      </c>
      <c r="I3240" s="94">
        <v>353217.04</v>
      </c>
      <c r="J3240" s="91">
        <v>68894.42</v>
      </c>
      <c r="K3240" s="25">
        <f t="shared" si="619"/>
        <v>8927475.5100000016</v>
      </c>
      <c r="L3240" s="95">
        <f t="shared" si="620"/>
        <v>20754500</v>
      </c>
      <c r="M3240" s="20"/>
      <c r="N3240" s="20"/>
      <c r="O3240" s="130"/>
      <c r="P3240" s="84">
        <v>4416744913</v>
      </c>
      <c r="Q3240" s="174">
        <v>44470</v>
      </c>
      <c r="R3240" s="125">
        <v>479000</v>
      </c>
      <c r="S3240" s="125">
        <v>651500</v>
      </c>
      <c r="W3240" s="31"/>
      <c r="X3240" s="131"/>
    </row>
    <row r="3241" spans="1:24" ht="16.5" hidden="1" customHeight="1" x14ac:dyDescent="0.25">
      <c r="B3241" s="89">
        <v>44540.125</v>
      </c>
      <c r="C3241" s="92" t="s">
        <v>3046</v>
      </c>
      <c r="D3241" s="23"/>
      <c r="E3241" s="91">
        <v>9579000</v>
      </c>
      <c r="F3241" s="93"/>
      <c r="G3241" s="93">
        <f t="shared" si="618"/>
        <v>9579000</v>
      </c>
      <c r="H3241" s="94">
        <v>229413.03</v>
      </c>
      <c r="I3241" s="94">
        <v>354941.05</v>
      </c>
      <c r="J3241" s="91">
        <v>68894.42</v>
      </c>
      <c r="K3241" s="25">
        <f t="shared" si="619"/>
        <v>8925751.5</v>
      </c>
      <c r="L3241" s="95">
        <f t="shared" si="620"/>
        <v>11175500</v>
      </c>
      <c r="M3241" s="20"/>
      <c r="N3241" s="20"/>
      <c r="O3241" s="130"/>
      <c r="P3241" s="84">
        <v>4421825832</v>
      </c>
      <c r="Q3241" s="174">
        <v>44501</v>
      </c>
      <c r="R3241" s="125">
        <v>479000</v>
      </c>
      <c r="S3241" s="125">
        <v>651500</v>
      </c>
      <c r="W3241" s="31"/>
      <c r="X3241" s="131"/>
    </row>
    <row r="3242" spans="1:24" ht="16.5" hidden="1" customHeight="1" x14ac:dyDescent="0.25">
      <c r="B3242" s="89">
        <v>44553.125</v>
      </c>
      <c r="C3242" s="92" t="s">
        <v>3047</v>
      </c>
      <c r="D3242" s="23"/>
      <c r="E3242" s="91">
        <v>9579000</v>
      </c>
      <c r="F3242" s="93"/>
      <c r="G3242" s="93">
        <f t="shared" si="618"/>
        <v>9579000</v>
      </c>
      <c r="H3242" s="94">
        <v>229413.03</v>
      </c>
      <c r="I3242" s="94">
        <v>358076.03</v>
      </c>
      <c r="J3242" s="91">
        <v>68894.42</v>
      </c>
      <c r="K3242" s="25">
        <f t="shared" si="619"/>
        <v>8922616.5200000014</v>
      </c>
      <c r="L3242" s="95">
        <f t="shared" si="620"/>
        <v>1596500</v>
      </c>
      <c r="M3242" s="20"/>
      <c r="N3242" s="20"/>
      <c r="O3242" s="130"/>
      <c r="P3242" s="84">
        <v>4423614057</v>
      </c>
      <c r="Q3242" s="174">
        <v>44531</v>
      </c>
      <c r="R3242" s="125">
        <v>479000</v>
      </c>
      <c r="S3242" s="125">
        <v>651500</v>
      </c>
      <c r="W3242" s="31"/>
      <c r="X3242" s="131"/>
    </row>
    <row r="3243" spans="1:24" ht="16.5" hidden="1" customHeight="1" x14ac:dyDescent="0.25">
      <c r="B3243" s="89"/>
      <c r="C3243" s="92"/>
      <c r="D3243" s="23"/>
      <c r="E3243" s="91"/>
      <c r="F3243" s="93"/>
      <c r="G3243" s="93"/>
      <c r="H3243" s="94"/>
      <c r="I3243" s="94"/>
      <c r="J3243" s="91"/>
      <c r="K3243" s="25"/>
      <c r="L3243" s="95"/>
      <c r="M3243" s="20"/>
      <c r="N3243" s="20"/>
      <c r="O3243" s="130"/>
      <c r="P3243" s="84"/>
      <c r="Q3243" s="174"/>
      <c r="R3243" s="177">
        <f>SUM(R3231:R3242)</f>
        <v>6020200</v>
      </c>
      <c r="S3243" s="178">
        <f>SUM(S3231:S3242)</f>
        <v>8147300</v>
      </c>
      <c r="W3243" s="31"/>
      <c r="X3243" s="131"/>
    </row>
    <row r="3244" spans="1:24" ht="16.5" hidden="1" customHeight="1" x14ac:dyDescent="0.25">
      <c r="A3244" s="21">
        <v>902021</v>
      </c>
      <c r="B3244" s="139" t="s">
        <v>3048</v>
      </c>
      <c r="C3244" s="140"/>
      <c r="D3244" s="141">
        <v>89884667</v>
      </c>
      <c r="E3244" s="141">
        <f>+D3244</f>
        <v>89884667</v>
      </c>
      <c r="F3244" s="141"/>
      <c r="G3244" s="141"/>
      <c r="H3244" s="141"/>
      <c r="I3244" s="141"/>
      <c r="J3244" s="141"/>
      <c r="K3244" s="141"/>
      <c r="L3244" s="141">
        <f>+D3244</f>
        <v>89884667</v>
      </c>
      <c r="M3244" s="142"/>
      <c r="N3244" s="142"/>
    </row>
    <row r="3245" spans="1:24" ht="15" hidden="1" x14ac:dyDescent="0.25">
      <c r="B3245" s="89">
        <v>44244.125</v>
      </c>
      <c r="C3245" s="92" t="s">
        <v>3049</v>
      </c>
      <c r="D3245" s="23"/>
      <c r="E3245" s="91">
        <v>2643667</v>
      </c>
      <c r="F3245" s="93"/>
      <c r="G3245" s="93">
        <f t="shared" ref="G3245:G3256" si="621">+E3245</f>
        <v>2643667</v>
      </c>
      <c r="H3245" s="94"/>
      <c r="I3245" s="94"/>
      <c r="J3245" s="91">
        <v>22626.51</v>
      </c>
      <c r="K3245" s="25">
        <f t="shared" ref="K3245:K3256" si="622">+G3245-H3245-I3245-J3245</f>
        <v>2621040.4900000002</v>
      </c>
      <c r="L3245" s="95">
        <f t="shared" ref="L3245:L3256" si="623">+L3244-G3245</f>
        <v>87241000</v>
      </c>
      <c r="M3245" s="96"/>
      <c r="N3245" s="96"/>
      <c r="O3245" s="149">
        <f>+VLOOKUP(A3244,'[1]ANEXO 7 - PPTO VIG 2021'!$H$8:$AB$160,21,)-L3256</f>
        <v>0</v>
      </c>
      <c r="P3245" s="55">
        <v>48392806</v>
      </c>
      <c r="Q3245" s="127">
        <v>44197</v>
      </c>
      <c r="R3245" s="14">
        <v>455600</v>
      </c>
      <c r="S3245" s="14">
        <v>512000</v>
      </c>
      <c r="T3245" s="3">
        <f>+L3244*40%</f>
        <v>35953866.800000004</v>
      </c>
    </row>
    <row r="3246" spans="1:24" ht="15" hidden="1" x14ac:dyDescent="0.25">
      <c r="B3246" s="89">
        <v>44272.083333333336</v>
      </c>
      <c r="C3246" s="92" t="s">
        <v>3050</v>
      </c>
      <c r="D3246" s="23"/>
      <c r="E3246" s="91">
        <v>7931000</v>
      </c>
      <c r="F3246" s="93"/>
      <c r="G3246" s="93">
        <f t="shared" si="621"/>
        <v>7931000</v>
      </c>
      <c r="H3246" s="94"/>
      <c r="I3246" s="94">
        <v>343575.02</v>
      </c>
      <c r="J3246" s="91">
        <v>67879.53</v>
      </c>
      <c r="K3246" s="25">
        <f t="shared" si="622"/>
        <v>7519545.4500000002</v>
      </c>
      <c r="L3246" s="95">
        <f t="shared" si="623"/>
        <v>79310000</v>
      </c>
      <c r="M3246" s="96"/>
      <c r="N3246" s="96"/>
      <c r="O3246" s="130"/>
      <c r="P3246" s="84">
        <v>49006107</v>
      </c>
      <c r="Q3246" s="127">
        <v>44228</v>
      </c>
      <c r="R3246" s="14">
        <v>455600</v>
      </c>
      <c r="S3246" s="14">
        <v>512000</v>
      </c>
    </row>
    <row r="3247" spans="1:24" ht="15" hidden="1" x14ac:dyDescent="0.25">
      <c r="B3247" s="89">
        <v>44301.083333333336</v>
      </c>
      <c r="C3247" s="92" t="s">
        <v>3051</v>
      </c>
      <c r="D3247" s="23"/>
      <c r="E3247" s="91">
        <v>7931000</v>
      </c>
      <c r="F3247" s="93"/>
      <c r="G3247" s="93">
        <f t="shared" si="621"/>
        <v>7931000</v>
      </c>
      <c r="H3247" s="94"/>
      <c r="I3247" s="91">
        <v>343575.02</v>
      </c>
      <c r="J3247" s="91">
        <v>67879.53</v>
      </c>
      <c r="K3247" s="25">
        <f t="shared" si="622"/>
        <v>7519545.4500000002</v>
      </c>
      <c r="L3247" s="95">
        <f t="shared" si="623"/>
        <v>71379000</v>
      </c>
      <c r="M3247" s="96"/>
      <c r="N3247" s="96"/>
      <c r="O3247" s="130"/>
      <c r="P3247" s="55">
        <v>490066121</v>
      </c>
      <c r="Q3247" s="127">
        <v>44256</v>
      </c>
      <c r="R3247" s="14">
        <v>455600</v>
      </c>
      <c r="S3247" s="14">
        <v>512000</v>
      </c>
      <c r="U3247" s="3">
        <f>+T3245*12.5%</f>
        <v>4494233.3500000006</v>
      </c>
      <c r="V3247" s="172" t="s">
        <v>2769</v>
      </c>
    </row>
    <row r="3248" spans="1:24" ht="15" hidden="1" x14ac:dyDescent="0.25">
      <c r="B3248" s="89">
        <v>44330.083333333336</v>
      </c>
      <c r="C3248" s="92" t="s">
        <v>3052</v>
      </c>
      <c r="D3248" s="23"/>
      <c r="E3248" s="91">
        <v>7931000</v>
      </c>
      <c r="F3248" s="93"/>
      <c r="G3248" s="93">
        <f t="shared" si="621"/>
        <v>7931000</v>
      </c>
      <c r="H3248" s="94"/>
      <c r="I3248" s="94">
        <v>343575.02</v>
      </c>
      <c r="J3248" s="91">
        <v>67879.53</v>
      </c>
      <c r="K3248" s="25">
        <f t="shared" si="622"/>
        <v>7519545.4500000002</v>
      </c>
      <c r="L3248" s="95">
        <f t="shared" si="623"/>
        <v>63448000</v>
      </c>
      <c r="M3248" s="20">
        <v>7931000</v>
      </c>
      <c r="N3248" s="20">
        <f>+G3248-M3248</f>
        <v>0</v>
      </c>
      <c r="O3248" s="130"/>
      <c r="P3248" s="55">
        <v>50120621</v>
      </c>
      <c r="Q3248" s="127">
        <v>44287</v>
      </c>
      <c r="R3248" s="14">
        <v>455600</v>
      </c>
      <c r="S3248" s="14">
        <v>512000</v>
      </c>
      <c r="U3248" s="3">
        <f>+T3245*16%</f>
        <v>5752618.688000001</v>
      </c>
      <c r="V3248" s="173" t="s">
        <v>2771</v>
      </c>
    </row>
    <row r="3249" spans="1:24" ht="15" hidden="1" x14ac:dyDescent="0.25">
      <c r="B3249" s="89">
        <v>44370.083333333336</v>
      </c>
      <c r="C3249" s="92" t="s">
        <v>3053</v>
      </c>
      <c r="D3249" s="23"/>
      <c r="E3249" s="91">
        <v>7931000</v>
      </c>
      <c r="F3249" s="93"/>
      <c r="G3249" s="93">
        <f t="shared" si="621"/>
        <v>7931000</v>
      </c>
      <c r="H3249" s="94"/>
      <c r="I3249" s="94">
        <v>343575.02</v>
      </c>
      <c r="J3249" s="91">
        <v>67879.53</v>
      </c>
      <c r="K3249" s="25">
        <f t="shared" si="622"/>
        <v>7519545.4500000002</v>
      </c>
      <c r="L3249" s="95">
        <f t="shared" si="623"/>
        <v>55517000</v>
      </c>
      <c r="M3249" s="20"/>
      <c r="N3249" s="20"/>
      <c r="O3249" s="130"/>
      <c r="P3249" s="55">
        <v>1006996553</v>
      </c>
      <c r="Q3249" s="127">
        <v>44317</v>
      </c>
      <c r="R3249" s="14">
        <v>455600</v>
      </c>
      <c r="S3249" s="14">
        <v>512000</v>
      </c>
    </row>
    <row r="3250" spans="1:24" ht="15" hidden="1" x14ac:dyDescent="0.25">
      <c r="B3250" s="89">
        <v>44386.083333333336</v>
      </c>
      <c r="C3250" s="92" t="s">
        <v>3054</v>
      </c>
      <c r="D3250" s="23"/>
      <c r="E3250" s="91">
        <v>7931000</v>
      </c>
      <c r="F3250" s="93"/>
      <c r="G3250" s="93">
        <f t="shared" si="621"/>
        <v>7931000</v>
      </c>
      <c r="H3250" s="94"/>
      <c r="I3250" s="94">
        <v>343575.02</v>
      </c>
      <c r="J3250" s="91">
        <v>67879.53</v>
      </c>
      <c r="K3250" s="25">
        <f t="shared" si="622"/>
        <v>7519545.4500000002</v>
      </c>
      <c r="L3250" s="95">
        <f t="shared" si="623"/>
        <v>47586000</v>
      </c>
      <c r="M3250" s="20"/>
      <c r="N3250" s="20"/>
      <c r="O3250" s="130"/>
      <c r="P3250" s="55">
        <v>51450006</v>
      </c>
      <c r="Q3250" s="127">
        <v>44348</v>
      </c>
      <c r="R3250" s="14">
        <v>455600</v>
      </c>
      <c r="S3250" s="14">
        <v>512000</v>
      </c>
    </row>
    <row r="3251" spans="1:24" ht="15" hidden="1" x14ac:dyDescent="0.25">
      <c r="B3251" s="89">
        <v>44417.083333333336</v>
      </c>
      <c r="C3251" s="92" t="s">
        <v>3055</v>
      </c>
      <c r="D3251" s="23"/>
      <c r="E3251" s="91">
        <v>7931000</v>
      </c>
      <c r="F3251" s="93"/>
      <c r="G3251" s="93">
        <f t="shared" si="621"/>
        <v>7931000</v>
      </c>
      <c r="H3251" s="94"/>
      <c r="I3251" s="94">
        <v>343575.02</v>
      </c>
      <c r="J3251" s="91">
        <v>67879.53</v>
      </c>
      <c r="K3251" s="25">
        <f t="shared" si="622"/>
        <v>7519545.4500000002</v>
      </c>
      <c r="L3251" s="95">
        <f t="shared" si="623"/>
        <v>39655000</v>
      </c>
      <c r="M3251" s="20"/>
      <c r="N3251" s="20"/>
      <c r="O3251" s="130"/>
      <c r="P3251" s="84">
        <v>52124218</v>
      </c>
      <c r="Q3251" s="174">
        <v>44378</v>
      </c>
      <c r="R3251" s="125">
        <v>455600</v>
      </c>
      <c r="S3251" s="125">
        <v>512000</v>
      </c>
      <c r="W3251" s="31">
        <v>7931000</v>
      </c>
      <c r="X3251" s="131">
        <f>+E3251-W3251</f>
        <v>0</v>
      </c>
    </row>
    <row r="3252" spans="1:24" ht="15" hidden="1" x14ac:dyDescent="0.25">
      <c r="B3252" s="89">
        <v>44447.083333333336</v>
      </c>
      <c r="C3252" s="92" t="s">
        <v>3056</v>
      </c>
      <c r="D3252" s="23"/>
      <c r="E3252" s="91">
        <v>7931000</v>
      </c>
      <c r="F3252" s="93"/>
      <c r="G3252" s="93">
        <f t="shared" si="621"/>
        <v>7931000</v>
      </c>
      <c r="H3252" s="94"/>
      <c r="I3252" s="94">
        <v>343575.02</v>
      </c>
      <c r="J3252" s="91">
        <v>67879.53</v>
      </c>
      <c r="K3252" s="25">
        <f t="shared" si="622"/>
        <v>7519545.4500000002</v>
      </c>
      <c r="L3252" s="95">
        <f t="shared" si="623"/>
        <v>31724000</v>
      </c>
      <c r="M3252" s="20"/>
      <c r="N3252" s="20"/>
      <c r="O3252" s="130"/>
      <c r="P3252" s="84">
        <v>52808553</v>
      </c>
      <c r="Q3252" s="174">
        <v>44409</v>
      </c>
      <c r="R3252" s="125">
        <v>455600</v>
      </c>
      <c r="S3252" s="125">
        <v>512000</v>
      </c>
      <c r="W3252" s="31"/>
      <c r="X3252" s="131"/>
    </row>
    <row r="3253" spans="1:24" ht="15" hidden="1" x14ac:dyDescent="0.25">
      <c r="B3253" s="89">
        <v>44489.083333333336</v>
      </c>
      <c r="C3253" s="92" t="s">
        <v>3057</v>
      </c>
      <c r="D3253" s="23"/>
      <c r="E3253" s="91">
        <v>7931000</v>
      </c>
      <c r="F3253" s="93"/>
      <c r="G3253" s="93">
        <f t="shared" si="621"/>
        <v>7931000</v>
      </c>
      <c r="H3253" s="94"/>
      <c r="I3253" s="94">
        <v>343575.02</v>
      </c>
      <c r="J3253" s="91">
        <v>67879.53</v>
      </c>
      <c r="K3253" s="25">
        <f t="shared" si="622"/>
        <v>7519545.4500000002</v>
      </c>
      <c r="L3253" s="95">
        <f t="shared" si="623"/>
        <v>23793000</v>
      </c>
      <c r="M3253" s="20"/>
      <c r="N3253" s="20"/>
      <c r="O3253" s="130"/>
      <c r="P3253" s="84">
        <v>5348903</v>
      </c>
      <c r="Q3253" s="174">
        <v>44440</v>
      </c>
      <c r="R3253" s="125">
        <v>455600</v>
      </c>
      <c r="S3253" s="125">
        <v>512000</v>
      </c>
      <c r="W3253" s="31"/>
      <c r="X3253" s="131"/>
    </row>
    <row r="3254" spans="1:24" ht="15" hidden="1" x14ac:dyDescent="0.25">
      <c r="B3254" s="89">
        <v>44511.125</v>
      </c>
      <c r="C3254" s="92" t="s">
        <v>3058</v>
      </c>
      <c r="D3254" s="23"/>
      <c r="E3254" s="91">
        <v>7931000</v>
      </c>
      <c r="F3254" s="93"/>
      <c r="G3254" s="93">
        <f t="shared" si="621"/>
        <v>7931000</v>
      </c>
      <c r="H3254" s="94"/>
      <c r="I3254" s="94">
        <v>343575.02</v>
      </c>
      <c r="J3254" s="91">
        <v>67879.53</v>
      </c>
      <c r="K3254" s="25">
        <f t="shared" si="622"/>
        <v>7519545.4500000002</v>
      </c>
      <c r="L3254" s="95">
        <f t="shared" si="623"/>
        <v>15862000</v>
      </c>
      <c r="M3254" s="20"/>
      <c r="N3254" s="20"/>
      <c r="O3254" s="130"/>
      <c r="P3254" s="84">
        <v>54162478</v>
      </c>
      <c r="Q3254" s="174">
        <v>44470</v>
      </c>
      <c r="R3254" s="125">
        <v>455600</v>
      </c>
      <c r="S3254" s="125">
        <v>512000</v>
      </c>
      <c r="W3254" s="31"/>
      <c r="X3254" s="131"/>
    </row>
    <row r="3255" spans="1:24" ht="15" hidden="1" x14ac:dyDescent="0.25">
      <c r="B3255" s="89">
        <v>44545.125</v>
      </c>
      <c r="C3255" s="92" t="s">
        <v>3059</v>
      </c>
      <c r="D3255" s="23"/>
      <c r="E3255" s="91">
        <v>7931000</v>
      </c>
      <c r="F3255" s="93"/>
      <c r="G3255" s="93">
        <f t="shared" si="621"/>
        <v>7931000</v>
      </c>
      <c r="H3255" s="94"/>
      <c r="I3255" s="94">
        <v>343575.02</v>
      </c>
      <c r="J3255" s="91">
        <v>67879.53</v>
      </c>
      <c r="K3255" s="25">
        <f t="shared" si="622"/>
        <v>7519545.4500000002</v>
      </c>
      <c r="L3255" s="95">
        <f t="shared" si="623"/>
        <v>7931000</v>
      </c>
      <c r="M3255" s="20"/>
      <c r="N3255" s="20"/>
      <c r="O3255" s="130"/>
      <c r="P3255" s="84">
        <v>54851635</v>
      </c>
      <c r="Q3255" s="174">
        <v>44501</v>
      </c>
      <c r="R3255" s="125">
        <v>455600</v>
      </c>
      <c r="S3255" s="125">
        <v>512000</v>
      </c>
      <c r="W3255" s="31"/>
      <c r="X3255" s="131"/>
    </row>
    <row r="3256" spans="1:24" ht="15" hidden="1" x14ac:dyDescent="0.25">
      <c r="B3256" s="89">
        <v>44552.125</v>
      </c>
      <c r="C3256" s="92" t="s">
        <v>3060</v>
      </c>
      <c r="D3256" s="23"/>
      <c r="E3256" s="91">
        <v>7931000</v>
      </c>
      <c r="F3256" s="93"/>
      <c r="G3256" s="93">
        <f t="shared" si="621"/>
        <v>7931000</v>
      </c>
      <c r="H3256" s="94"/>
      <c r="I3256" s="94">
        <v>343575.02</v>
      </c>
      <c r="J3256" s="91">
        <v>67879.53</v>
      </c>
      <c r="K3256" s="25">
        <f t="shared" si="622"/>
        <v>7519545.4500000002</v>
      </c>
      <c r="L3256" s="95">
        <f t="shared" si="623"/>
        <v>0</v>
      </c>
      <c r="M3256" s="20"/>
      <c r="N3256" s="20"/>
      <c r="O3256" s="130"/>
      <c r="P3256" s="84">
        <v>55303411</v>
      </c>
      <c r="Q3256" s="174">
        <v>44531</v>
      </c>
      <c r="R3256" s="125">
        <v>455600</v>
      </c>
      <c r="S3256" s="125">
        <v>512000</v>
      </c>
      <c r="W3256" s="31"/>
      <c r="X3256" s="131"/>
    </row>
    <row r="3257" spans="1:24" ht="15" hidden="1" x14ac:dyDescent="0.25">
      <c r="B3257" s="89"/>
      <c r="C3257" s="92"/>
      <c r="D3257" s="23"/>
      <c r="E3257" s="91"/>
      <c r="F3257" s="93"/>
      <c r="G3257" s="93"/>
      <c r="H3257" s="94"/>
      <c r="I3257" s="94"/>
      <c r="J3257" s="91"/>
      <c r="K3257" s="25"/>
      <c r="L3257" s="95"/>
      <c r="M3257" s="20"/>
      <c r="N3257" s="20"/>
      <c r="O3257" s="130"/>
      <c r="P3257" s="84"/>
      <c r="Q3257" s="174"/>
      <c r="R3257" s="177">
        <f>SUM(R3245:R3256)</f>
        <v>5467200</v>
      </c>
      <c r="S3257" s="178">
        <f>SUM(S3245:S3256)</f>
        <v>6144000</v>
      </c>
      <c r="W3257" s="31"/>
      <c r="X3257" s="131"/>
    </row>
    <row r="3258" spans="1:24" ht="16.5" hidden="1" customHeight="1" x14ac:dyDescent="0.25">
      <c r="A3258" s="21">
        <v>1572021</v>
      </c>
      <c r="B3258" s="139" t="s">
        <v>3061</v>
      </c>
      <c r="C3258" s="140"/>
      <c r="D3258" s="141">
        <v>80271333</v>
      </c>
      <c r="E3258" s="141">
        <f>+D3258</f>
        <v>80271333</v>
      </c>
      <c r="F3258" s="141"/>
      <c r="G3258" s="141"/>
      <c r="H3258" s="141"/>
      <c r="I3258" s="141"/>
      <c r="J3258" s="141"/>
      <c r="K3258" s="141"/>
      <c r="L3258" s="141">
        <f>+D3258</f>
        <v>80271333</v>
      </c>
      <c r="M3258" s="142"/>
      <c r="N3258" s="142"/>
    </row>
    <row r="3259" spans="1:24" ht="15" hidden="1" x14ac:dyDescent="0.25">
      <c r="B3259" s="89">
        <v>44245.125</v>
      </c>
      <c r="C3259" s="92" t="s">
        <v>3062</v>
      </c>
      <c r="D3259" s="23"/>
      <c r="E3259" s="91">
        <v>721000</v>
      </c>
      <c r="F3259" s="93"/>
      <c r="G3259" s="93">
        <f t="shared" ref="G3259:G3270" si="624">+E3259</f>
        <v>721000</v>
      </c>
      <c r="H3259" s="94"/>
      <c r="I3259" s="94"/>
      <c r="J3259" s="91">
        <v>6170.87</v>
      </c>
      <c r="K3259" s="25">
        <f t="shared" ref="K3259:K3270" si="625">+G3259-H3259-I3259-J3259</f>
        <v>714829.13</v>
      </c>
      <c r="L3259" s="95">
        <f t="shared" ref="L3259:L3265" si="626">+L3258-G3259</f>
        <v>79550333</v>
      </c>
      <c r="M3259" s="96"/>
      <c r="N3259" s="96"/>
      <c r="O3259" s="149">
        <f>+VLOOKUP(A3258,'[1]ANEXO 7 - PPTO VIG 2021'!$H$8:$AB$160,21,)-L3270</f>
        <v>-240333</v>
      </c>
      <c r="P3259" s="55">
        <v>48249618</v>
      </c>
      <c r="Q3259" s="127">
        <v>44197</v>
      </c>
      <c r="R3259" s="14">
        <v>113600</v>
      </c>
      <c r="S3259" s="14">
        <v>145400</v>
      </c>
      <c r="T3259" s="3">
        <f>+L3258-240333</f>
        <v>80031000</v>
      </c>
      <c r="U3259" s="3">
        <f>+T3259*40%</f>
        <v>32012400</v>
      </c>
    </row>
    <row r="3260" spans="1:24" ht="15" hidden="1" x14ac:dyDescent="0.25">
      <c r="B3260" s="89">
        <v>44256.125</v>
      </c>
      <c r="C3260" s="92" t="s">
        <v>3063</v>
      </c>
      <c r="D3260" s="23"/>
      <c r="E3260" s="91">
        <v>7210000</v>
      </c>
      <c r="F3260" s="93"/>
      <c r="G3260" s="93">
        <f t="shared" si="624"/>
        <v>7210000</v>
      </c>
      <c r="H3260" s="94"/>
      <c r="I3260" s="94">
        <v>252787.41</v>
      </c>
      <c r="J3260" s="91">
        <v>61708.66</v>
      </c>
      <c r="K3260" s="25">
        <f t="shared" si="625"/>
        <v>6895503.9299999997</v>
      </c>
      <c r="L3260" s="95">
        <f t="shared" si="626"/>
        <v>72340333</v>
      </c>
      <c r="M3260" s="96"/>
      <c r="N3260" s="96"/>
      <c r="O3260" s="130"/>
      <c r="P3260" s="84">
        <v>48785060</v>
      </c>
      <c r="Q3260" s="127">
        <v>44228</v>
      </c>
      <c r="R3260" s="14">
        <v>360500</v>
      </c>
      <c r="S3260" s="14">
        <v>461500</v>
      </c>
      <c r="U3260" s="3"/>
    </row>
    <row r="3261" spans="1:24" ht="15" hidden="1" x14ac:dyDescent="0.25">
      <c r="B3261" s="89">
        <v>44292.083333333336</v>
      </c>
      <c r="C3261" s="92" t="s">
        <v>3064</v>
      </c>
      <c r="D3261" s="23"/>
      <c r="E3261" s="91">
        <v>7210000</v>
      </c>
      <c r="F3261" s="93"/>
      <c r="G3261" s="93">
        <f t="shared" si="624"/>
        <v>7210000</v>
      </c>
      <c r="H3261" s="94"/>
      <c r="I3261" s="91">
        <v>372065.61</v>
      </c>
      <c r="J3261" s="91">
        <v>69648.600000000006</v>
      </c>
      <c r="K3261" s="25">
        <f t="shared" si="625"/>
        <v>6768285.79</v>
      </c>
      <c r="L3261" s="95">
        <f t="shared" si="626"/>
        <v>65130333</v>
      </c>
      <c r="M3261" s="96"/>
      <c r="N3261" s="96"/>
      <c r="O3261" s="130"/>
      <c r="P3261" s="84"/>
      <c r="Q3261" s="144">
        <v>44228</v>
      </c>
      <c r="R3261" s="14"/>
      <c r="S3261" s="14"/>
      <c r="U3261" s="3">
        <f>+U3259*12.5%</f>
        <v>4001550</v>
      </c>
      <c r="V3261" s="172" t="s">
        <v>2769</v>
      </c>
    </row>
    <row r="3262" spans="1:24" ht="15" hidden="1" x14ac:dyDescent="0.25">
      <c r="B3262" s="89">
        <v>44320.083333333336</v>
      </c>
      <c r="C3262" s="92" t="s">
        <v>3065</v>
      </c>
      <c r="D3262" s="23"/>
      <c r="E3262" s="91">
        <v>7210000</v>
      </c>
      <c r="F3262" s="93"/>
      <c r="G3262" s="93">
        <f t="shared" si="624"/>
        <v>7210000</v>
      </c>
      <c r="H3262" s="94"/>
      <c r="I3262" s="94">
        <v>252787.41</v>
      </c>
      <c r="J3262" s="91">
        <v>61708.66</v>
      </c>
      <c r="K3262" s="25">
        <f t="shared" si="625"/>
        <v>6895503.9299999997</v>
      </c>
      <c r="L3262" s="95">
        <f t="shared" si="626"/>
        <v>57920333</v>
      </c>
      <c r="M3262" s="20">
        <v>7210000</v>
      </c>
      <c r="N3262" s="20">
        <f>+G3262-M3262</f>
        <v>0</v>
      </c>
      <c r="O3262" s="130"/>
      <c r="P3262" s="84">
        <v>49519493</v>
      </c>
      <c r="Q3262" s="127">
        <v>44256</v>
      </c>
      <c r="R3262" s="14">
        <v>360500</v>
      </c>
      <c r="S3262" s="14">
        <v>461500</v>
      </c>
      <c r="U3262" s="3">
        <f>+U3259*16%</f>
        <v>5121984</v>
      </c>
      <c r="V3262" s="173" t="s">
        <v>2771</v>
      </c>
    </row>
    <row r="3263" spans="1:24" ht="15" hidden="1" x14ac:dyDescent="0.25">
      <c r="B3263" s="89">
        <v>44349.083333333336</v>
      </c>
      <c r="C3263" s="92" t="s">
        <v>3066</v>
      </c>
      <c r="D3263" s="23"/>
      <c r="E3263" s="91">
        <v>7210000</v>
      </c>
      <c r="F3263" s="93"/>
      <c r="G3263" s="93">
        <f t="shared" si="624"/>
        <v>7210000</v>
      </c>
      <c r="H3263" s="94"/>
      <c r="I3263" s="94">
        <v>252787.41</v>
      </c>
      <c r="J3263" s="91">
        <v>61708.66</v>
      </c>
      <c r="K3263" s="25">
        <f t="shared" si="625"/>
        <v>6895503.9299999997</v>
      </c>
      <c r="L3263" s="95">
        <f t="shared" si="626"/>
        <v>50710333</v>
      </c>
      <c r="M3263" s="20"/>
      <c r="N3263" s="20"/>
      <c r="O3263" s="130"/>
      <c r="P3263" s="55">
        <v>50187122</v>
      </c>
      <c r="Q3263" s="127">
        <v>44287</v>
      </c>
      <c r="R3263" s="14">
        <v>360500</v>
      </c>
      <c r="S3263" s="14">
        <v>461500</v>
      </c>
    </row>
    <row r="3264" spans="1:24" ht="15" hidden="1" x14ac:dyDescent="0.25">
      <c r="B3264" s="89">
        <v>44383.083333333336</v>
      </c>
      <c r="C3264" s="92" t="s">
        <v>3067</v>
      </c>
      <c r="D3264" s="23"/>
      <c r="E3264" s="91">
        <v>7210000</v>
      </c>
      <c r="F3264" s="93"/>
      <c r="G3264" s="93">
        <f t="shared" si="624"/>
        <v>7210000</v>
      </c>
      <c r="H3264" s="94"/>
      <c r="I3264" s="94">
        <v>252787.41</v>
      </c>
      <c r="J3264" s="91">
        <v>61708.66</v>
      </c>
      <c r="K3264" s="25">
        <f t="shared" si="625"/>
        <v>6895503.9299999997</v>
      </c>
      <c r="L3264" s="95">
        <f t="shared" si="626"/>
        <v>43500333</v>
      </c>
      <c r="M3264" s="20"/>
      <c r="N3264" s="20"/>
      <c r="O3264" s="130"/>
      <c r="P3264" s="84">
        <v>50845166</v>
      </c>
      <c r="Q3264" s="174">
        <v>44317</v>
      </c>
      <c r="R3264" s="14">
        <v>360500</v>
      </c>
      <c r="S3264" s="14">
        <v>461500</v>
      </c>
    </row>
    <row r="3265" spans="1:24" ht="15" hidden="1" x14ac:dyDescent="0.25">
      <c r="B3265" s="89">
        <v>44411.083333333336</v>
      </c>
      <c r="C3265" s="92" t="s">
        <v>3068</v>
      </c>
      <c r="D3265" s="23"/>
      <c r="E3265" s="91">
        <v>7210000</v>
      </c>
      <c r="F3265" s="93"/>
      <c r="G3265" s="93">
        <f t="shared" si="624"/>
        <v>7210000</v>
      </c>
      <c r="H3265" s="94"/>
      <c r="I3265" s="94">
        <v>252787.41</v>
      </c>
      <c r="J3265" s="91">
        <v>61708.66</v>
      </c>
      <c r="K3265" s="25">
        <f t="shared" si="625"/>
        <v>6895503.9299999997</v>
      </c>
      <c r="L3265" s="95">
        <f t="shared" si="626"/>
        <v>36290333</v>
      </c>
      <c r="M3265" s="20"/>
      <c r="N3265" s="20"/>
      <c r="O3265" s="130"/>
      <c r="P3265" s="84">
        <v>51516549</v>
      </c>
      <c r="Q3265" s="174">
        <v>44348</v>
      </c>
      <c r="R3265" s="14">
        <v>360500</v>
      </c>
      <c r="S3265" s="14">
        <v>461500</v>
      </c>
      <c r="W3265" s="31">
        <v>7210000</v>
      </c>
      <c r="X3265" s="131">
        <f>+E3265-W3265</f>
        <v>0</v>
      </c>
    </row>
    <row r="3266" spans="1:24" ht="15" hidden="1" x14ac:dyDescent="0.25">
      <c r="B3266" s="89">
        <v>44441.083333333336</v>
      </c>
      <c r="C3266" s="92" t="s">
        <v>3069</v>
      </c>
      <c r="D3266" s="23"/>
      <c r="E3266" s="91">
        <v>7210000</v>
      </c>
      <c r="F3266" s="93"/>
      <c r="G3266" s="93">
        <f t="shared" si="624"/>
        <v>7210000</v>
      </c>
      <c r="H3266" s="94"/>
      <c r="I3266" s="94">
        <v>252787.41</v>
      </c>
      <c r="J3266" s="91">
        <v>61708.66</v>
      </c>
      <c r="K3266" s="25">
        <f t="shared" si="625"/>
        <v>6895503.9299999997</v>
      </c>
      <c r="L3266" s="95">
        <f>+L3265-G3266</f>
        <v>29080333</v>
      </c>
      <c r="M3266" s="20"/>
      <c r="N3266" s="20"/>
      <c r="O3266" s="130"/>
      <c r="P3266" s="84">
        <v>52188719</v>
      </c>
      <c r="Q3266" s="174">
        <v>44378</v>
      </c>
      <c r="R3266" s="14">
        <v>360500</v>
      </c>
      <c r="S3266" s="14">
        <v>461500</v>
      </c>
      <c r="W3266" s="31"/>
      <c r="X3266" s="131"/>
    </row>
    <row r="3267" spans="1:24" ht="15" hidden="1" x14ac:dyDescent="0.25">
      <c r="B3267" s="89">
        <v>44474.083333333336</v>
      </c>
      <c r="C3267" s="92" t="s">
        <v>3070</v>
      </c>
      <c r="D3267" s="23"/>
      <c r="E3267" s="91">
        <v>7210000</v>
      </c>
      <c r="F3267" s="93"/>
      <c r="G3267" s="93">
        <f t="shared" si="624"/>
        <v>7210000</v>
      </c>
      <c r="H3267" s="94"/>
      <c r="I3267" s="94">
        <v>252787.41</v>
      </c>
      <c r="J3267" s="91">
        <v>61708.66</v>
      </c>
      <c r="K3267" s="25">
        <f t="shared" si="625"/>
        <v>6895503.9299999997</v>
      </c>
      <c r="L3267" s="95">
        <f>+L3266-G3267</f>
        <v>21870333</v>
      </c>
      <c r="M3267" s="20"/>
      <c r="N3267" s="20"/>
      <c r="O3267" s="130"/>
      <c r="P3267" s="84">
        <v>52868274</v>
      </c>
      <c r="Q3267" s="174">
        <v>44409</v>
      </c>
      <c r="R3267" s="14">
        <v>360500</v>
      </c>
      <c r="S3267" s="14">
        <v>461500</v>
      </c>
      <c r="W3267" s="31"/>
      <c r="X3267" s="131"/>
    </row>
    <row r="3268" spans="1:24" ht="15" hidden="1" x14ac:dyDescent="0.25">
      <c r="B3268" s="89">
        <v>44504.083333333336</v>
      </c>
      <c r="C3268" s="92" t="s">
        <v>3071</v>
      </c>
      <c r="D3268" s="23"/>
      <c r="E3268" s="91">
        <v>7210000</v>
      </c>
      <c r="F3268" s="93"/>
      <c r="G3268" s="93">
        <f t="shared" si="624"/>
        <v>7210000</v>
      </c>
      <c r="H3268" s="94"/>
      <c r="I3268" s="94">
        <v>252787.41</v>
      </c>
      <c r="J3268" s="91">
        <v>61708.66</v>
      </c>
      <c r="K3268" s="25">
        <f t="shared" si="625"/>
        <v>6895503.9299999997</v>
      </c>
      <c r="L3268" s="95">
        <f>+L3267-G3268</f>
        <v>14660333</v>
      </c>
      <c r="M3268" s="20"/>
      <c r="N3268" s="20"/>
      <c r="O3268" s="130"/>
      <c r="P3268" s="84">
        <v>53549046</v>
      </c>
      <c r="Q3268" s="174">
        <v>44440</v>
      </c>
      <c r="R3268" s="125">
        <v>360500</v>
      </c>
      <c r="S3268" s="125">
        <v>461500</v>
      </c>
      <c r="W3268" s="31"/>
      <c r="X3268" s="131"/>
    </row>
    <row r="3269" spans="1:24" ht="15" hidden="1" x14ac:dyDescent="0.25">
      <c r="B3269" s="89">
        <v>44533.125</v>
      </c>
      <c r="C3269" s="92" t="s">
        <v>3072</v>
      </c>
      <c r="D3269" s="23"/>
      <c r="E3269" s="91">
        <v>7210000</v>
      </c>
      <c r="F3269" s="93"/>
      <c r="G3269" s="93">
        <f t="shared" si="624"/>
        <v>7210000</v>
      </c>
      <c r="H3269" s="94"/>
      <c r="I3269" s="94">
        <v>252787.41</v>
      </c>
      <c r="J3269" s="91">
        <v>61708.66</v>
      </c>
      <c r="K3269" s="25">
        <f t="shared" si="625"/>
        <v>6895503.9299999997</v>
      </c>
      <c r="L3269" s="95">
        <f>+L3268-G3269</f>
        <v>7450333</v>
      </c>
      <c r="M3269" s="20"/>
      <c r="N3269" s="20"/>
      <c r="O3269" s="130"/>
      <c r="P3269" s="84">
        <v>54219827</v>
      </c>
      <c r="Q3269" s="174">
        <v>44470</v>
      </c>
      <c r="R3269" s="125">
        <v>360500</v>
      </c>
      <c r="S3269" s="125">
        <v>461500</v>
      </c>
      <c r="W3269" s="31"/>
      <c r="X3269" s="131"/>
    </row>
    <row r="3270" spans="1:24" ht="15" hidden="1" x14ac:dyDescent="0.25">
      <c r="B3270" s="89">
        <v>44551.125</v>
      </c>
      <c r="C3270" s="92" t="s">
        <v>3073</v>
      </c>
      <c r="D3270" s="23"/>
      <c r="E3270" s="91">
        <v>7210000</v>
      </c>
      <c r="F3270" s="93"/>
      <c r="G3270" s="93">
        <f t="shared" si="624"/>
        <v>7210000</v>
      </c>
      <c r="H3270" s="94"/>
      <c r="I3270" s="94">
        <v>252787.41</v>
      </c>
      <c r="J3270" s="91">
        <v>61708.66</v>
      </c>
      <c r="K3270" s="25">
        <f t="shared" si="625"/>
        <v>6895503.9299999997</v>
      </c>
      <c r="L3270" s="95">
        <f>+L3269-G3270</f>
        <v>240333</v>
      </c>
      <c r="M3270" s="20"/>
      <c r="N3270" s="20"/>
      <c r="O3270" s="130"/>
      <c r="P3270" s="84">
        <v>54914202</v>
      </c>
      <c r="Q3270" s="174">
        <v>44501</v>
      </c>
      <c r="R3270" s="125">
        <v>360500</v>
      </c>
      <c r="S3270" s="125">
        <v>461500</v>
      </c>
      <c r="W3270" s="31"/>
      <c r="X3270" s="131"/>
    </row>
    <row r="3271" spans="1:24" ht="15" hidden="1" x14ac:dyDescent="0.25">
      <c r="B3271" s="89"/>
      <c r="C3271" s="92"/>
      <c r="D3271" s="23"/>
      <c r="E3271" s="91"/>
      <c r="F3271" s="93"/>
      <c r="G3271" s="93"/>
      <c r="H3271" s="94"/>
      <c r="I3271" s="94"/>
      <c r="J3271" s="91"/>
      <c r="K3271" s="25"/>
      <c r="L3271" s="95"/>
      <c r="M3271" s="20"/>
      <c r="N3271" s="20"/>
      <c r="O3271" s="130"/>
      <c r="P3271" s="84">
        <v>55348508</v>
      </c>
      <c r="Q3271" s="174">
        <v>44531</v>
      </c>
      <c r="R3271" s="125">
        <v>360500</v>
      </c>
      <c r="S3271" s="125">
        <v>461500</v>
      </c>
      <c r="W3271" s="31"/>
      <c r="X3271" s="131"/>
    </row>
    <row r="3272" spans="1:24" ht="15" hidden="1" x14ac:dyDescent="0.25">
      <c r="B3272" s="89"/>
      <c r="C3272" s="92"/>
      <c r="D3272" s="23"/>
      <c r="E3272" s="91"/>
      <c r="F3272" s="93"/>
      <c r="G3272" s="93"/>
      <c r="H3272" s="94"/>
      <c r="I3272" s="94"/>
      <c r="J3272" s="91"/>
      <c r="K3272" s="25"/>
      <c r="L3272" s="95"/>
      <c r="M3272" s="20"/>
      <c r="N3272" s="20"/>
      <c r="O3272" s="130"/>
      <c r="P3272" s="84"/>
      <c r="Q3272" s="174"/>
      <c r="R3272" s="177">
        <f>SUM(R3259:R3271)</f>
        <v>4079100</v>
      </c>
      <c r="S3272" s="178">
        <f>SUM(S3259:S3271)</f>
        <v>5221900</v>
      </c>
      <c r="W3272" s="31"/>
      <c r="X3272" s="131"/>
    </row>
    <row r="3273" spans="1:24" ht="16.5" hidden="1" customHeight="1" x14ac:dyDescent="0.25">
      <c r="A3273" s="21">
        <v>332021</v>
      </c>
      <c r="B3273" s="139" t="s">
        <v>3074</v>
      </c>
      <c r="C3273" s="140"/>
      <c r="D3273" s="141">
        <v>96408000</v>
      </c>
      <c r="E3273" s="141">
        <f>+D3273</f>
        <v>96408000</v>
      </c>
      <c r="F3273" s="141"/>
      <c r="G3273" s="141"/>
      <c r="H3273" s="141"/>
      <c r="I3273" s="141"/>
      <c r="J3273" s="141"/>
      <c r="K3273" s="141"/>
      <c r="L3273" s="141">
        <f>+D3273</f>
        <v>96408000</v>
      </c>
      <c r="M3273" s="142"/>
      <c r="N3273" s="142"/>
    </row>
    <row r="3274" spans="1:24" ht="15" hidden="1" x14ac:dyDescent="0.25">
      <c r="B3274" s="89">
        <v>44245.125</v>
      </c>
      <c r="C3274" s="92" t="s">
        <v>3075</v>
      </c>
      <c r="D3274" s="23"/>
      <c r="E3274" s="91">
        <v>4499040</v>
      </c>
      <c r="F3274" s="93"/>
      <c r="G3274" s="93">
        <f t="shared" ref="G3274:G3281" si="627">+E3274</f>
        <v>4499040</v>
      </c>
      <c r="H3274" s="94"/>
      <c r="I3274" s="94"/>
      <c r="J3274" s="91">
        <v>42053.26</v>
      </c>
      <c r="K3274" s="25">
        <f t="shared" ref="K3274:K3281" si="628">+G3274-H3274-I3274-J3274</f>
        <v>4456986.74</v>
      </c>
      <c r="L3274" s="95">
        <f t="shared" ref="L3274:L3279" si="629">+L3273-G3274</f>
        <v>91908960</v>
      </c>
      <c r="M3274" s="96"/>
      <c r="N3274" s="96"/>
      <c r="O3274" s="149">
        <f>+VLOOKUP(A3273,'[1]ANEXO 7 - PPTO VIG 2021'!$H$8:$AB$160,21,)-L3281</f>
        <v>0</v>
      </c>
      <c r="P3274" s="55">
        <v>48338263</v>
      </c>
      <c r="Q3274" s="127">
        <v>44197</v>
      </c>
      <c r="R3274" s="14">
        <v>145700</v>
      </c>
      <c r="S3274" s="14">
        <v>0</v>
      </c>
    </row>
    <row r="3275" spans="1:24" ht="15" hidden="1" x14ac:dyDescent="0.25">
      <c r="B3275" s="89">
        <v>44285.083333333336</v>
      </c>
      <c r="C3275" s="92" t="s">
        <v>3076</v>
      </c>
      <c r="D3275" s="23"/>
      <c r="E3275" s="91">
        <v>9640800</v>
      </c>
      <c r="F3275" s="93"/>
      <c r="G3275" s="93">
        <f t="shared" si="627"/>
        <v>9640800</v>
      </c>
      <c r="H3275" s="94"/>
      <c r="I3275" s="94">
        <v>755834.6</v>
      </c>
      <c r="J3275" s="91">
        <v>88473.62</v>
      </c>
      <c r="K3275" s="25">
        <f t="shared" si="628"/>
        <v>8796491.7800000012</v>
      </c>
      <c r="L3275" s="95">
        <f t="shared" si="629"/>
        <v>82268160</v>
      </c>
      <c r="M3275" s="96"/>
      <c r="N3275" s="96"/>
      <c r="O3275" s="130"/>
      <c r="P3275" s="84"/>
      <c r="Q3275" s="174"/>
      <c r="R3275" s="125"/>
      <c r="S3275" s="125"/>
    </row>
    <row r="3276" spans="1:24" ht="15" hidden="1" x14ac:dyDescent="0.25">
      <c r="B3276" s="89">
        <v>44295.083333333336</v>
      </c>
      <c r="C3276" s="92" t="s">
        <v>3077</v>
      </c>
      <c r="D3276" s="23"/>
      <c r="E3276" s="91">
        <v>9640800</v>
      </c>
      <c r="F3276" s="93"/>
      <c r="G3276" s="93">
        <f t="shared" si="627"/>
        <v>9640800</v>
      </c>
      <c r="H3276" s="94"/>
      <c r="I3276" s="91">
        <v>753734.58</v>
      </c>
      <c r="J3276" s="91">
        <v>88473.62</v>
      </c>
      <c r="K3276" s="25">
        <f t="shared" si="628"/>
        <v>8798591.8000000007</v>
      </c>
      <c r="L3276" s="95">
        <f t="shared" si="629"/>
        <v>72627360</v>
      </c>
      <c r="M3276" s="96"/>
      <c r="N3276" s="96"/>
      <c r="O3276" s="130"/>
      <c r="P3276" s="55">
        <v>49461077</v>
      </c>
      <c r="Q3276" s="127">
        <v>44256</v>
      </c>
      <c r="R3276" s="14">
        <v>882100</v>
      </c>
      <c r="S3276" s="14">
        <v>0</v>
      </c>
    </row>
    <row r="3277" spans="1:24" ht="15" hidden="1" x14ac:dyDescent="0.25">
      <c r="B3277" s="89">
        <v>44322.083333333336</v>
      </c>
      <c r="C3277" s="92" t="s">
        <v>3078</v>
      </c>
      <c r="D3277" s="23"/>
      <c r="E3277" s="91">
        <v>9640800</v>
      </c>
      <c r="F3277" s="93"/>
      <c r="G3277" s="93">
        <f t="shared" si="627"/>
        <v>9640800</v>
      </c>
      <c r="H3277" s="94"/>
      <c r="I3277" s="94">
        <v>753734.58</v>
      </c>
      <c r="J3277" s="91">
        <v>88473.62</v>
      </c>
      <c r="K3277" s="25">
        <f t="shared" si="628"/>
        <v>8798591.8000000007</v>
      </c>
      <c r="L3277" s="95">
        <f t="shared" si="629"/>
        <v>62986560</v>
      </c>
      <c r="M3277" s="20">
        <v>9640800</v>
      </c>
      <c r="N3277" s="20">
        <f>+G3277-M3277</f>
        <v>0</v>
      </c>
      <c r="O3277" s="130"/>
      <c r="P3277" s="55">
        <v>50121267</v>
      </c>
      <c r="Q3277" s="127">
        <v>44287</v>
      </c>
      <c r="R3277" s="14">
        <v>882100</v>
      </c>
      <c r="S3277" s="14">
        <v>0</v>
      </c>
    </row>
    <row r="3278" spans="1:24" ht="15" hidden="1" x14ac:dyDescent="0.25">
      <c r="B3278" s="89">
        <v>44357.083333333336</v>
      </c>
      <c r="C3278" s="92" t="s">
        <v>3079</v>
      </c>
      <c r="D3278" s="23"/>
      <c r="E3278" s="91">
        <v>9640800</v>
      </c>
      <c r="F3278" s="93"/>
      <c r="G3278" s="93">
        <f t="shared" si="627"/>
        <v>9640800</v>
      </c>
      <c r="H3278" s="94"/>
      <c r="I3278" s="94">
        <v>753734.58</v>
      </c>
      <c r="J3278" s="91">
        <v>88473.62</v>
      </c>
      <c r="K3278" s="25">
        <f t="shared" si="628"/>
        <v>8798591.8000000007</v>
      </c>
      <c r="L3278" s="95">
        <f t="shared" si="629"/>
        <v>53345760</v>
      </c>
      <c r="M3278" s="20"/>
      <c r="N3278" s="20"/>
      <c r="O3278" s="130"/>
      <c r="P3278" s="84">
        <v>50763575</v>
      </c>
      <c r="Q3278" s="174">
        <v>44317</v>
      </c>
      <c r="R3278" s="125">
        <v>882100</v>
      </c>
      <c r="S3278" s="14">
        <v>0</v>
      </c>
    </row>
    <row r="3279" spans="1:24" ht="15" hidden="1" x14ac:dyDescent="0.25">
      <c r="B3279" s="89">
        <v>44386.083333333336</v>
      </c>
      <c r="C3279" s="92" t="s">
        <v>3080</v>
      </c>
      <c r="D3279" s="23"/>
      <c r="E3279" s="91">
        <v>9640800</v>
      </c>
      <c r="F3279" s="93"/>
      <c r="G3279" s="93">
        <f t="shared" si="627"/>
        <v>9640800</v>
      </c>
      <c r="H3279" s="94"/>
      <c r="I3279" s="94">
        <v>753734.58</v>
      </c>
      <c r="J3279" s="91">
        <v>88473.62</v>
      </c>
      <c r="K3279" s="25">
        <f t="shared" si="628"/>
        <v>8798591.8000000007</v>
      </c>
      <c r="L3279" s="95">
        <f t="shared" si="629"/>
        <v>43704960</v>
      </c>
      <c r="M3279" s="20"/>
      <c r="N3279" s="20"/>
      <c r="O3279" s="130"/>
      <c r="P3279" s="84">
        <v>51454533</v>
      </c>
      <c r="Q3279" s="174">
        <v>44348</v>
      </c>
      <c r="R3279" s="125">
        <v>882100</v>
      </c>
      <c r="S3279" s="14">
        <v>0</v>
      </c>
    </row>
    <row r="3280" spans="1:24" ht="15" hidden="1" x14ac:dyDescent="0.25">
      <c r="B3280" s="89">
        <v>44419.083333333336</v>
      </c>
      <c r="C3280" s="92" t="s">
        <v>3081</v>
      </c>
      <c r="D3280" s="23"/>
      <c r="E3280" s="91">
        <v>9640800</v>
      </c>
      <c r="F3280" s="93"/>
      <c r="G3280" s="93">
        <f t="shared" si="627"/>
        <v>9640800</v>
      </c>
      <c r="H3280" s="94"/>
      <c r="I3280" s="94">
        <v>753734.58</v>
      </c>
      <c r="J3280" s="91">
        <v>88473.62</v>
      </c>
      <c r="K3280" s="25">
        <f t="shared" si="628"/>
        <v>8798591.8000000007</v>
      </c>
      <c r="L3280" s="95">
        <f>+L3279-G3280</f>
        <v>34064160</v>
      </c>
      <c r="M3280" s="20"/>
      <c r="N3280" s="20"/>
      <c r="O3280" s="130"/>
      <c r="P3280" s="84">
        <v>52108812</v>
      </c>
      <c r="Q3280" s="174">
        <v>44378</v>
      </c>
      <c r="R3280" s="125">
        <v>882100</v>
      </c>
      <c r="S3280" s="14">
        <v>0</v>
      </c>
      <c r="W3280" s="31">
        <v>9640800</v>
      </c>
      <c r="X3280" s="131">
        <f>+E3280-W3280</f>
        <v>0</v>
      </c>
    </row>
    <row r="3281" spans="1:24" ht="15" hidden="1" x14ac:dyDescent="0.25">
      <c r="B3281" s="89">
        <v>44447.083333333336</v>
      </c>
      <c r="C3281" s="92" t="s">
        <v>3082</v>
      </c>
      <c r="D3281" s="23"/>
      <c r="E3281" s="91">
        <v>9640800</v>
      </c>
      <c r="F3281" s="93"/>
      <c r="G3281" s="93">
        <f t="shared" si="627"/>
        <v>9640800</v>
      </c>
      <c r="H3281" s="94"/>
      <c r="I3281" s="94">
        <v>755141.59</v>
      </c>
      <c r="J3281" s="91">
        <v>88473.62</v>
      </c>
      <c r="K3281" s="25">
        <f t="shared" si="628"/>
        <v>8797184.790000001</v>
      </c>
      <c r="L3281" s="95">
        <f>+L3280-G3281</f>
        <v>24423360</v>
      </c>
      <c r="M3281" s="20"/>
      <c r="N3281" s="20"/>
      <c r="O3281" s="130"/>
      <c r="P3281" s="84">
        <v>52807527</v>
      </c>
      <c r="Q3281" s="174">
        <v>44409</v>
      </c>
      <c r="R3281" s="125">
        <v>722100</v>
      </c>
      <c r="S3281" s="14">
        <v>0</v>
      </c>
      <c r="W3281" s="31"/>
      <c r="X3281" s="131"/>
    </row>
    <row r="3282" spans="1:24" ht="15" hidden="1" x14ac:dyDescent="0.25">
      <c r="A3282" s="21">
        <v>2562021</v>
      </c>
      <c r="B3282" s="139" t="s">
        <v>3083</v>
      </c>
      <c r="C3282" s="140"/>
      <c r="D3282" s="141">
        <v>87618667</v>
      </c>
      <c r="E3282" s="141">
        <f>+D3282</f>
        <v>87618667</v>
      </c>
      <c r="F3282" s="141"/>
      <c r="G3282" s="141"/>
      <c r="H3282" s="141"/>
      <c r="I3282" s="141"/>
      <c r="J3282" s="141"/>
      <c r="K3282" s="141"/>
      <c r="L3282" s="141">
        <f>+D3282</f>
        <v>87618667</v>
      </c>
      <c r="M3282" s="142"/>
      <c r="N3282" s="142"/>
      <c r="O3282" s="149">
        <f>+VLOOKUP(A3282,'[1]ANEXO 7 - PPTO VIG 2021'!$H$8:$AB$160,21,)-L3293</f>
        <v>-274667</v>
      </c>
    </row>
    <row r="3283" spans="1:24" ht="15" hidden="1" x14ac:dyDescent="0.25">
      <c r="B3283" s="89">
        <v>44266.125</v>
      </c>
      <c r="C3283" s="92" t="s">
        <v>3084</v>
      </c>
      <c r="D3283" s="23"/>
      <c r="E3283" s="91">
        <v>4944000</v>
      </c>
      <c r="F3283" s="93"/>
      <c r="G3283" s="93">
        <f t="shared" ref="G3283:G3293" si="630">+E3283</f>
        <v>4944000</v>
      </c>
      <c r="H3283" s="94"/>
      <c r="I3283" s="94"/>
      <c r="J3283" s="91">
        <v>42314.51</v>
      </c>
      <c r="K3283" s="25">
        <f t="shared" ref="K3283:K3293" si="631">+G3283-H3283-I3283-J3283</f>
        <v>4901685.49</v>
      </c>
      <c r="L3283" s="95">
        <f t="shared" ref="L3283:L3288" si="632">+L3282-G3283</f>
        <v>82674667</v>
      </c>
      <c r="M3283" s="96"/>
      <c r="N3283" s="96"/>
      <c r="P3283" s="21">
        <v>7781041881</v>
      </c>
      <c r="Q3283" s="127">
        <v>44228</v>
      </c>
      <c r="R3283" s="14">
        <v>312600</v>
      </c>
      <c r="S3283" s="14">
        <v>400100</v>
      </c>
      <c r="T3283" s="3">
        <f>+L3282-274667</f>
        <v>87344000</v>
      </c>
      <c r="U3283" s="3">
        <f>+T3283*40%</f>
        <v>34937600</v>
      </c>
    </row>
    <row r="3284" spans="1:24" ht="15" hidden="1" x14ac:dyDescent="0.25">
      <c r="B3284" s="89">
        <v>44295.083333333336</v>
      </c>
      <c r="C3284" s="92" t="s">
        <v>3085</v>
      </c>
      <c r="D3284" s="23"/>
      <c r="E3284" s="91">
        <v>8240000</v>
      </c>
      <c r="F3284" s="93"/>
      <c r="G3284" s="93">
        <f t="shared" si="630"/>
        <v>8240000</v>
      </c>
      <c r="H3284" s="94"/>
      <c r="I3284" s="91">
        <v>176913.56</v>
      </c>
      <c r="J3284" s="25">
        <v>70524.179999999993</v>
      </c>
      <c r="K3284" s="25">
        <f t="shared" si="631"/>
        <v>7992562.2600000007</v>
      </c>
      <c r="L3284" s="95">
        <f t="shared" si="632"/>
        <v>74434667</v>
      </c>
      <c r="M3284" s="96"/>
      <c r="N3284" s="96"/>
      <c r="P3284" s="55">
        <v>7784406521</v>
      </c>
      <c r="Q3284" s="127">
        <v>44256</v>
      </c>
      <c r="R3284" s="14">
        <v>412000</v>
      </c>
      <c r="S3284" s="14">
        <v>527400</v>
      </c>
      <c r="U3284" s="3"/>
    </row>
    <row r="3285" spans="1:24" ht="15" hidden="1" x14ac:dyDescent="0.25">
      <c r="B3285" s="89">
        <v>44321.083333333336</v>
      </c>
      <c r="C3285" s="92" t="s">
        <v>3086</v>
      </c>
      <c r="D3285" s="23"/>
      <c r="E3285" s="91">
        <v>8240000</v>
      </c>
      <c r="F3285" s="93"/>
      <c r="G3285" s="93">
        <f t="shared" si="630"/>
        <v>8240000</v>
      </c>
      <c r="H3285" s="94"/>
      <c r="I3285" s="94">
        <v>176913.56</v>
      </c>
      <c r="J3285" s="91">
        <v>70524.179999999993</v>
      </c>
      <c r="K3285" s="25">
        <f t="shared" si="631"/>
        <v>7992562.2600000007</v>
      </c>
      <c r="L3285" s="95">
        <f t="shared" si="632"/>
        <v>66194667</v>
      </c>
      <c r="M3285" s="20">
        <v>8240000</v>
      </c>
      <c r="N3285" s="20">
        <f>+G3285-M3285</f>
        <v>0</v>
      </c>
      <c r="P3285" s="55">
        <v>7786918234</v>
      </c>
      <c r="Q3285" s="127">
        <v>44287</v>
      </c>
      <c r="R3285" s="14">
        <v>412000</v>
      </c>
      <c r="S3285" s="14">
        <v>527400</v>
      </c>
      <c r="U3285" s="3">
        <f>+U3283*12.5%</f>
        <v>4367200</v>
      </c>
      <c r="V3285" s="172" t="s">
        <v>2769</v>
      </c>
    </row>
    <row r="3286" spans="1:24" ht="15" hidden="1" x14ac:dyDescent="0.25">
      <c r="B3286" s="89">
        <v>44350.083333333336</v>
      </c>
      <c r="C3286" s="92" t="s">
        <v>3087</v>
      </c>
      <c r="D3286" s="23"/>
      <c r="E3286" s="91">
        <v>8240000</v>
      </c>
      <c r="F3286" s="93"/>
      <c r="G3286" s="93">
        <f t="shared" si="630"/>
        <v>8240000</v>
      </c>
      <c r="H3286" s="94"/>
      <c r="I3286" s="94">
        <v>176913.56</v>
      </c>
      <c r="J3286" s="91">
        <v>70524.179999999993</v>
      </c>
      <c r="K3286" s="25">
        <f t="shared" si="631"/>
        <v>7992562.2600000007</v>
      </c>
      <c r="L3286" s="95">
        <f t="shared" si="632"/>
        <v>57954667</v>
      </c>
      <c r="M3286" s="20"/>
      <c r="N3286" s="20"/>
      <c r="P3286" s="84">
        <v>7789330440</v>
      </c>
      <c r="Q3286" s="174">
        <v>44317</v>
      </c>
      <c r="R3286" s="125">
        <v>412000</v>
      </c>
      <c r="S3286" s="125">
        <v>527400</v>
      </c>
      <c r="U3286" s="3">
        <f>+U3283*16%</f>
        <v>5590016</v>
      </c>
      <c r="V3286" s="173" t="s">
        <v>2771</v>
      </c>
    </row>
    <row r="3287" spans="1:24" ht="15" hidden="1" x14ac:dyDescent="0.25">
      <c r="B3287" s="89">
        <v>44386.083333333336</v>
      </c>
      <c r="C3287" s="92" t="s">
        <v>3088</v>
      </c>
      <c r="D3287" s="23"/>
      <c r="E3287" s="91">
        <v>8240000</v>
      </c>
      <c r="F3287" s="93"/>
      <c r="G3287" s="93">
        <f t="shared" si="630"/>
        <v>8240000</v>
      </c>
      <c r="H3287" s="94"/>
      <c r="I3287" s="94">
        <v>176913.56</v>
      </c>
      <c r="J3287" s="91">
        <v>70524.179999999993</v>
      </c>
      <c r="K3287" s="25">
        <f t="shared" si="631"/>
        <v>7992562.2600000007</v>
      </c>
      <c r="L3287" s="95">
        <f t="shared" si="632"/>
        <v>49714667</v>
      </c>
      <c r="M3287" s="20"/>
      <c r="N3287" s="20"/>
      <c r="P3287" s="84">
        <v>7801241664</v>
      </c>
      <c r="Q3287" s="174">
        <v>44348</v>
      </c>
      <c r="R3287" s="125">
        <v>412000</v>
      </c>
      <c r="S3287" s="125">
        <v>527400</v>
      </c>
    </row>
    <row r="3288" spans="1:24" ht="15" hidden="1" x14ac:dyDescent="0.25">
      <c r="B3288" s="89">
        <v>44417.083333333336</v>
      </c>
      <c r="C3288" s="92" t="s">
        <v>3089</v>
      </c>
      <c r="D3288" s="23"/>
      <c r="E3288" s="91">
        <v>8240000</v>
      </c>
      <c r="F3288" s="93"/>
      <c r="G3288" s="93">
        <f t="shared" si="630"/>
        <v>8240000</v>
      </c>
      <c r="H3288" s="94"/>
      <c r="I3288" s="94">
        <v>176913.56</v>
      </c>
      <c r="J3288" s="91">
        <v>70524.179999999993</v>
      </c>
      <c r="K3288" s="25">
        <f t="shared" si="631"/>
        <v>7992562.2600000007</v>
      </c>
      <c r="L3288" s="95">
        <f t="shared" si="632"/>
        <v>41474667</v>
      </c>
      <c r="M3288" s="20"/>
      <c r="N3288" s="20"/>
      <c r="P3288" s="84">
        <v>7803788830</v>
      </c>
      <c r="Q3288" s="174">
        <v>44378</v>
      </c>
      <c r="R3288" s="125">
        <v>412000</v>
      </c>
      <c r="S3288" s="125">
        <v>527400</v>
      </c>
      <c r="W3288" s="31">
        <v>8240000</v>
      </c>
      <c r="X3288" s="131">
        <f>+E3288-W3288</f>
        <v>0</v>
      </c>
    </row>
    <row r="3289" spans="1:24" ht="15" hidden="1" x14ac:dyDescent="0.25">
      <c r="B3289" s="89">
        <v>44447.083333333336</v>
      </c>
      <c r="C3289" s="92" t="s">
        <v>3090</v>
      </c>
      <c r="D3289" s="23"/>
      <c r="E3289" s="91">
        <v>8240000</v>
      </c>
      <c r="F3289" s="93"/>
      <c r="G3289" s="93">
        <f t="shared" si="630"/>
        <v>8240000</v>
      </c>
      <c r="H3289" s="94"/>
      <c r="I3289" s="94">
        <v>176913.56</v>
      </c>
      <c r="J3289" s="91">
        <v>70524.179999999993</v>
      </c>
      <c r="K3289" s="25">
        <f t="shared" si="631"/>
        <v>7992562.2600000007</v>
      </c>
      <c r="L3289" s="95">
        <f>+L3288-G3289</f>
        <v>33234667</v>
      </c>
      <c r="M3289" s="20"/>
      <c r="N3289" s="20"/>
      <c r="P3289" s="84">
        <v>7809029631</v>
      </c>
      <c r="Q3289" s="174">
        <v>44409</v>
      </c>
      <c r="R3289" s="125">
        <v>412000</v>
      </c>
      <c r="S3289" s="125">
        <v>527400</v>
      </c>
      <c r="W3289" s="31"/>
      <c r="X3289" s="131"/>
    </row>
    <row r="3290" spans="1:24" ht="15" hidden="1" x14ac:dyDescent="0.25">
      <c r="B3290" s="89">
        <v>44480.083333333336</v>
      </c>
      <c r="C3290" s="92" t="s">
        <v>3091</v>
      </c>
      <c r="D3290" s="23"/>
      <c r="E3290" s="91">
        <v>8240000</v>
      </c>
      <c r="F3290" s="93"/>
      <c r="G3290" s="93">
        <f t="shared" si="630"/>
        <v>8240000</v>
      </c>
      <c r="H3290" s="94"/>
      <c r="I3290" s="94">
        <v>176913.56</v>
      </c>
      <c r="J3290" s="91">
        <v>70524.179999999993</v>
      </c>
      <c r="K3290" s="25">
        <f t="shared" si="631"/>
        <v>7992562.2600000007</v>
      </c>
      <c r="L3290" s="95">
        <f>+L3289-G3290</f>
        <v>24994667</v>
      </c>
      <c r="M3290" s="20"/>
      <c r="N3290" s="20"/>
      <c r="P3290" s="84">
        <v>7810965977</v>
      </c>
      <c r="Q3290" s="174">
        <v>44440</v>
      </c>
      <c r="R3290" s="125">
        <v>412000</v>
      </c>
      <c r="S3290" s="125">
        <v>527400</v>
      </c>
      <c r="W3290" s="31"/>
      <c r="X3290" s="131"/>
    </row>
    <row r="3291" spans="1:24" ht="15" hidden="1" x14ac:dyDescent="0.25">
      <c r="B3291" s="89">
        <v>44512.125</v>
      </c>
      <c r="C3291" s="92" t="s">
        <v>3092</v>
      </c>
      <c r="D3291" s="23"/>
      <c r="E3291" s="91">
        <v>8240000</v>
      </c>
      <c r="F3291" s="93"/>
      <c r="G3291" s="93">
        <f t="shared" si="630"/>
        <v>8240000</v>
      </c>
      <c r="H3291" s="94"/>
      <c r="I3291" s="94">
        <v>246787.62</v>
      </c>
      <c r="J3291" s="91">
        <v>70524.179999999993</v>
      </c>
      <c r="K3291" s="25">
        <f t="shared" si="631"/>
        <v>7922688.2000000002</v>
      </c>
      <c r="L3291" s="95">
        <f>+L3290-G3291</f>
        <v>16754667</v>
      </c>
      <c r="M3291" s="20"/>
      <c r="N3291" s="20"/>
      <c r="P3291" s="84">
        <v>7813699151</v>
      </c>
      <c r="Q3291" s="174">
        <v>44470</v>
      </c>
      <c r="R3291" s="125">
        <v>412000</v>
      </c>
      <c r="S3291" s="125">
        <v>527400</v>
      </c>
      <c r="W3291" s="31"/>
      <c r="X3291" s="131"/>
    </row>
    <row r="3292" spans="1:24" ht="15" hidden="1" x14ac:dyDescent="0.25">
      <c r="B3292" s="89">
        <v>44543.125</v>
      </c>
      <c r="C3292" s="92" t="s">
        <v>3093</v>
      </c>
      <c r="D3292" s="23"/>
      <c r="E3292" s="91">
        <v>8240000</v>
      </c>
      <c r="F3292" s="93"/>
      <c r="G3292" s="93">
        <f t="shared" si="630"/>
        <v>8240000</v>
      </c>
      <c r="H3292" s="94"/>
      <c r="I3292" s="94">
        <v>176913.56</v>
      </c>
      <c r="J3292" s="91">
        <v>70524.179999999993</v>
      </c>
      <c r="K3292" s="25">
        <f t="shared" si="631"/>
        <v>7992562.2600000007</v>
      </c>
      <c r="L3292" s="95">
        <f>+L3291-G3292</f>
        <v>8514667</v>
      </c>
      <c r="M3292" s="20"/>
      <c r="N3292" s="20"/>
      <c r="P3292" s="84">
        <v>7817894803</v>
      </c>
      <c r="Q3292" s="174">
        <v>44501</v>
      </c>
      <c r="R3292" s="125">
        <v>412000</v>
      </c>
      <c r="S3292" s="125">
        <v>527400</v>
      </c>
      <c r="W3292" s="31"/>
      <c r="X3292" s="131"/>
    </row>
    <row r="3293" spans="1:24" ht="15" hidden="1" x14ac:dyDescent="0.25">
      <c r="B3293" s="89">
        <v>44553.125</v>
      </c>
      <c r="C3293" s="92" t="s">
        <v>3094</v>
      </c>
      <c r="D3293" s="23"/>
      <c r="E3293" s="91">
        <v>8240000</v>
      </c>
      <c r="F3293" s="93"/>
      <c r="G3293" s="93">
        <f t="shared" si="630"/>
        <v>8240000</v>
      </c>
      <c r="H3293" s="94"/>
      <c r="I3293" s="94">
        <v>176913.56</v>
      </c>
      <c r="J3293" s="91">
        <v>70524.179999999993</v>
      </c>
      <c r="K3293" s="25">
        <f t="shared" si="631"/>
        <v>7992562.2600000007</v>
      </c>
      <c r="L3293" s="95">
        <f>+L3292-G3293</f>
        <v>274667</v>
      </c>
      <c r="M3293" s="20"/>
      <c r="N3293" s="20"/>
      <c r="P3293" s="84">
        <v>7820456574</v>
      </c>
      <c r="Q3293" s="174">
        <v>44531</v>
      </c>
      <c r="R3293" s="125">
        <v>412000</v>
      </c>
      <c r="S3293" s="125">
        <v>527400</v>
      </c>
      <c r="W3293" s="31"/>
      <c r="X3293" s="131"/>
    </row>
    <row r="3294" spans="1:24" ht="15" hidden="1" x14ac:dyDescent="0.25">
      <c r="B3294" s="89"/>
      <c r="C3294" s="92"/>
      <c r="D3294" s="23"/>
      <c r="E3294" s="91"/>
      <c r="F3294" s="93"/>
      <c r="G3294" s="93"/>
      <c r="H3294" s="94"/>
      <c r="I3294" s="94"/>
      <c r="J3294" s="91"/>
      <c r="K3294" s="25"/>
      <c r="L3294" s="95"/>
      <c r="M3294" s="20"/>
      <c r="N3294" s="20"/>
      <c r="P3294" s="84"/>
      <c r="Q3294" s="174"/>
      <c r="R3294" s="177">
        <f>SUM(R3283:R3293)</f>
        <v>4432600</v>
      </c>
      <c r="S3294" s="178">
        <f>SUM(S3283:S3293)</f>
        <v>5674100</v>
      </c>
      <c r="W3294" s="31"/>
      <c r="X3294" s="131"/>
    </row>
    <row r="3295" spans="1:24" ht="15" hidden="1" x14ac:dyDescent="0.25">
      <c r="B3295" s="89"/>
      <c r="C3295" s="92"/>
      <c r="D3295" s="23"/>
      <c r="E3295" s="91"/>
      <c r="F3295" s="93"/>
      <c r="G3295" s="93"/>
      <c r="H3295" s="94"/>
      <c r="I3295" s="94"/>
      <c r="J3295" s="91"/>
      <c r="K3295" s="25"/>
      <c r="L3295" s="95"/>
      <c r="M3295" s="20"/>
      <c r="N3295" s="20"/>
      <c r="P3295" s="84"/>
      <c r="Q3295" s="174"/>
      <c r="R3295" s="125"/>
      <c r="S3295" s="125"/>
      <c r="W3295" s="31"/>
      <c r="X3295" s="131"/>
    </row>
    <row r="3296" spans="1:24" ht="15" hidden="1" x14ac:dyDescent="0.25">
      <c r="A3296" s="21">
        <v>3042021</v>
      </c>
      <c r="B3296" s="139" t="s">
        <v>3095</v>
      </c>
      <c r="C3296" s="140"/>
      <c r="D3296" s="141">
        <v>44308000</v>
      </c>
      <c r="E3296" s="141">
        <f>+D3296</f>
        <v>44308000</v>
      </c>
      <c r="F3296" s="141"/>
      <c r="G3296" s="141"/>
      <c r="H3296" s="141"/>
      <c r="I3296" s="141"/>
      <c r="J3296" s="141"/>
      <c r="K3296" s="141"/>
      <c r="L3296" s="141">
        <f>+D3296</f>
        <v>44308000</v>
      </c>
      <c r="M3296" s="142"/>
      <c r="N3296" s="142"/>
      <c r="O3296" s="149">
        <f>+VLOOKUP(A3296,'[1]ANEXO 7 - PPTO VIG 2021'!$H$8:$AB$160,21,)-L3307</f>
        <v>-975334</v>
      </c>
    </row>
    <row r="3297" spans="1:24" ht="15" hidden="1" x14ac:dyDescent="0.25">
      <c r="B3297" s="89">
        <v>44259.125</v>
      </c>
      <c r="C3297" s="92" t="s">
        <v>3096</v>
      </c>
      <c r="D3297" s="23"/>
      <c r="E3297" s="91">
        <v>1532666</v>
      </c>
      <c r="F3297" s="93"/>
      <c r="G3297" s="93">
        <f t="shared" ref="G3297:G3307" si="633">+E3297</f>
        <v>1532666</v>
      </c>
      <c r="H3297" s="94"/>
      <c r="I3297" s="94"/>
      <c r="J3297" s="91">
        <v>13117.72</v>
      </c>
      <c r="K3297" s="25">
        <f t="shared" ref="K3297:K3307" si="634">+G3297-H3297-I3297-J3297</f>
        <v>1519548.28</v>
      </c>
      <c r="L3297" s="95">
        <f t="shared" ref="L3297:L3302" si="635">+L3296-G3297</f>
        <v>42775334</v>
      </c>
      <c r="M3297" s="96"/>
      <c r="N3297" s="96"/>
      <c r="P3297" s="55">
        <v>9416275137</v>
      </c>
      <c r="Q3297" s="127">
        <v>44197</v>
      </c>
      <c r="R3297" s="14">
        <v>113600</v>
      </c>
      <c r="S3297" s="14">
        <v>145400</v>
      </c>
      <c r="T3297" s="3">
        <f>+L3296-975334</f>
        <v>43332666</v>
      </c>
      <c r="U3297" s="3">
        <f>+T3297*40%</f>
        <v>17333066.400000002</v>
      </c>
    </row>
    <row r="3298" spans="1:24" ht="15" hidden="1" x14ac:dyDescent="0.25">
      <c r="B3298" s="89">
        <v>44293.083333333336</v>
      </c>
      <c r="C3298" s="92" t="s">
        <v>3097</v>
      </c>
      <c r="D3298" s="23"/>
      <c r="E3298" s="91">
        <v>4180000</v>
      </c>
      <c r="F3298" s="93"/>
      <c r="G3298" s="93">
        <f t="shared" si="633"/>
        <v>4180000</v>
      </c>
      <c r="H3298" s="94"/>
      <c r="I3298" s="94"/>
      <c r="J3298" s="91">
        <v>37876.86</v>
      </c>
      <c r="K3298" s="25">
        <f t="shared" si="634"/>
        <v>4142123.14</v>
      </c>
      <c r="L3298" s="95">
        <f t="shared" si="635"/>
        <v>38595334</v>
      </c>
      <c r="M3298" s="96"/>
      <c r="N3298" s="96"/>
      <c r="P3298" s="55">
        <v>9416828472</v>
      </c>
      <c r="Q3298" s="127">
        <v>44228</v>
      </c>
      <c r="R3298" s="14">
        <v>113600</v>
      </c>
      <c r="S3298" s="14">
        <v>145400</v>
      </c>
      <c r="U3298" s="3"/>
    </row>
    <row r="3299" spans="1:24" ht="15" hidden="1" x14ac:dyDescent="0.25">
      <c r="B3299" s="89">
        <v>44321.083333333336</v>
      </c>
      <c r="C3299" s="92" t="s">
        <v>3098</v>
      </c>
      <c r="D3299" s="23"/>
      <c r="E3299" s="91">
        <v>4180000</v>
      </c>
      <c r="F3299" s="93"/>
      <c r="G3299" s="93">
        <f t="shared" si="633"/>
        <v>4180000</v>
      </c>
      <c r="H3299" s="94"/>
      <c r="I3299" s="94"/>
      <c r="J3299" s="91">
        <v>35775.620000000003</v>
      </c>
      <c r="K3299" s="25">
        <f t="shared" si="634"/>
        <v>4144224.38</v>
      </c>
      <c r="L3299" s="95">
        <f t="shared" si="635"/>
        <v>34415334</v>
      </c>
      <c r="M3299" s="20">
        <v>4180000</v>
      </c>
      <c r="N3299" s="20">
        <f>+G3299-M3299</f>
        <v>0</v>
      </c>
      <c r="P3299" s="55">
        <v>9418565701</v>
      </c>
      <c r="Q3299" s="127">
        <v>44256</v>
      </c>
      <c r="R3299" s="14">
        <v>209000</v>
      </c>
      <c r="S3299" s="14">
        <v>267600</v>
      </c>
      <c r="U3299" s="3">
        <f>+U3297*12.5%</f>
        <v>2166633.3000000003</v>
      </c>
      <c r="V3299" s="172" t="s">
        <v>2769</v>
      </c>
    </row>
    <row r="3300" spans="1:24" ht="15" hidden="1" x14ac:dyDescent="0.25">
      <c r="B3300" s="89">
        <v>44351.083333333336</v>
      </c>
      <c r="C3300" s="92" t="s">
        <v>3099</v>
      </c>
      <c r="D3300" s="23"/>
      <c r="E3300" s="91">
        <v>4180000</v>
      </c>
      <c r="F3300" s="93"/>
      <c r="G3300" s="93">
        <f t="shared" si="633"/>
        <v>4180000</v>
      </c>
      <c r="H3300" s="94"/>
      <c r="I3300" s="94"/>
      <c r="J3300" s="91">
        <v>35775.620000000003</v>
      </c>
      <c r="K3300" s="25">
        <f t="shared" si="634"/>
        <v>4144224.38</v>
      </c>
      <c r="L3300" s="95">
        <f t="shared" si="635"/>
        <v>30235334</v>
      </c>
      <c r="M3300" s="20"/>
      <c r="N3300" s="20"/>
      <c r="P3300" s="84">
        <v>9419105036</v>
      </c>
      <c r="Q3300" s="127">
        <v>44287</v>
      </c>
      <c r="R3300" s="125">
        <v>209000</v>
      </c>
      <c r="S3300" s="125">
        <v>267600</v>
      </c>
      <c r="U3300" s="3">
        <f>+U3297*16%</f>
        <v>2773290.6240000003</v>
      </c>
      <c r="V3300" s="173" t="s">
        <v>2771</v>
      </c>
    </row>
    <row r="3301" spans="1:24" ht="15" hidden="1" x14ac:dyDescent="0.25">
      <c r="B3301" s="89">
        <v>44385.083333333336</v>
      </c>
      <c r="C3301" s="92" t="s">
        <v>3100</v>
      </c>
      <c r="D3301" s="23"/>
      <c r="E3301" s="91">
        <v>4180000</v>
      </c>
      <c r="F3301" s="93"/>
      <c r="G3301" s="93">
        <f t="shared" si="633"/>
        <v>4180000</v>
      </c>
      <c r="H3301" s="94"/>
      <c r="I3301" s="94"/>
      <c r="J3301" s="91">
        <v>35775.620000000003</v>
      </c>
      <c r="K3301" s="25">
        <f t="shared" si="634"/>
        <v>4144224.38</v>
      </c>
      <c r="L3301" s="95">
        <f t="shared" si="635"/>
        <v>26055334</v>
      </c>
      <c r="M3301" s="20"/>
      <c r="N3301" s="20"/>
      <c r="P3301" s="84">
        <v>9420312503</v>
      </c>
      <c r="Q3301" s="174">
        <v>44317</v>
      </c>
      <c r="R3301" s="125">
        <v>209000</v>
      </c>
      <c r="S3301" s="125">
        <v>267600</v>
      </c>
    </row>
    <row r="3302" spans="1:24" ht="15" hidden="1" x14ac:dyDescent="0.25">
      <c r="B3302" s="89">
        <v>44411.083333333336</v>
      </c>
      <c r="C3302" s="92" t="s">
        <v>3101</v>
      </c>
      <c r="D3302" s="23"/>
      <c r="E3302" s="91">
        <v>4180000</v>
      </c>
      <c r="F3302" s="93"/>
      <c r="G3302" s="93">
        <f t="shared" si="633"/>
        <v>4180000</v>
      </c>
      <c r="H3302" s="94"/>
      <c r="I3302" s="94"/>
      <c r="J3302" s="91">
        <v>35775.620000000003</v>
      </c>
      <c r="K3302" s="25">
        <f t="shared" si="634"/>
        <v>4144224.38</v>
      </c>
      <c r="L3302" s="95">
        <f t="shared" si="635"/>
        <v>21875334</v>
      </c>
      <c r="M3302" s="20"/>
      <c r="N3302" s="20"/>
      <c r="P3302" s="84">
        <v>9422245190</v>
      </c>
      <c r="Q3302" s="174">
        <v>44348</v>
      </c>
      <c r="R3302" s="125">
        <v>416500</v>
      </c>
      <c r="S3302" s="125">
        <v>533200</v>
      </c>
      <c r="W3302" s="31" t="e">
        <v>#N/A</v>
      </c>
      <c r="X3302" s="131" t="e">
        <f>+E3302-W3302</f>
        <v>#N/A</v>
      </c>
    </row>
    <row r="3303" spans="1:24" ht="15" hidden="1" x14ac:dyDescent="0.25">
      <c r="B3303" s="89">
        <v>44442.083333333336</v>
      </c>
      <c r="C3303" s="92" t="s">
        <v>3102</v>
      </c>
      <c r="D3303" s="23"/>
      <c r="E3303" s="91">
        <v>4180000</v>
      </c>
      <c r="F3303" s="93"/>
      <c r="G3303" s="93">
        <f t="shared" si="633"/>
        <v>4180000</v>
      </c>
      <c r="H3303" s="94"/>
      <c r="I3303" s="94"/>
      <c r="J3303" s="91">
        <v>35775.620000000003</v>
      </c>
      <c r="K3303" s="25">
        <f t="shared" si="634"/>
        <v>4144224.38</v>
      </c>
      <c r="L3303" s="95">
        <f>+L3302-G3303</f>
        <v>17695334</v>
      </c>
      <c r="M3303" s="20"/>
      <c r="N3303" s="20"/>
      <c r="P3303" s="84">
        <v>9422652287</v>
      </c>
      <c r="Q3303" s="174">
        <v>44378</v>
      </c>
      <c r="R3303" s="125">
        <v>416500</v>
      </c>
      <c r="S3303" s="125">
        <v>533200</v>
      </c>
      <c r="W3303" s="31"/>
      <c r="X3303" s="131"/>
    </row>
    <row r="3304" spans="1:24" ht="15" hidden="1" x14ac:dyDescent="0.25">
      <c r="B3304" s="89">
        <v>44477.083333333336</v>
      </c>
      <c r="C3304" s="92" t="s">
        <v>3103</v>
      </c>
      <c r="D3304" s="23"/>
      <c r="E3304" s="91">
        <v>4180000</v>
      </c>
      <c r="F3304" s="93"/>
      <c r="G3304" s="93">
        <f t="shared" si="633"/>
        <v>4180000</v>
      </c>
      <c r="H3304" s="94"/>
      <c r="I3304" s="94"/>
      <c r="J3304" s="91">
        <v>35775.620000000003</v>
      </c>
      <c r="K3304" s="25">
        <f t="shared" si="634"/>
        <v>4144224.38</v>
      </c>
      <c r="L3304" s="95">
        <f>+L3303-G3304</f>
        <v>13515334</v>
      </c>
      <c r="M3304" s="20"/>
      <c r="N3304" s="20"/>
      <c r="P3304" s="84">
        <v>9423878783</v>
      </c>
      <c r="Q3304" s="174">
        <v>44409</v>
      </c>
      <c r="R3304" s="125">
        <v>416500</v>
      </c>
      <c r="S3304" s="125">
        <v>533200</v>
      </c>
      <c r="W3304" s="31"/>
      <c r="X3304" s="131"/>
    </row>
    <row r="3305" spans="1:24" ht="15" hidden="1" x14ac:dyDescent="0.25">
      <c r="B3305" s="89">
        <v>44504.083333333336</v>
      </c>
      <c r="C3305" s="92" t="s">
        <v>3104</v>
      </c>
      <c r="D3305" s="23"/>
      <c r="E3305" s="91">
        <v>4180000</v>
      </c>
      <c r="F3305" s="93"/>
      <c r="G3305" s="93">
        <f t="shared" si="633"/>
        <v>4180000</v>
      </c>
      <c r="H3305" s="94"/>
      <c r="I3305" s="94"/>
      <c r="J3305" s="91">
        <v>35775.620000000003</v>
      </c>
      <c r="K3305" s="25">
        <f t="shared" si="634"/>
        <v>4144224.38</v>
      </c>
      <c r="L3305" s="95">
        <f>+L3304-G3305</f>
        <v>9335334</v>
      </c>
      <c r="M3305" s="20"/>
      <c r="N3305" s="20"/>
      <c r="P3305" s="84">
        <v>9425842881</v>
      </c>
      <c r="Q3305" s="174">
        <v>44440</v>
      </c>
      <c r="R3305" s="125">
        <v>416500</v>
      </c>
      <c r="S3305" s="125">
        <v>533200</v>
      </c>
      <c r="W3305" s="31"/>
      <c r="X3305" s="131"/>
    </row>
    <row r="3306" spans="1:24" ht="15" hidden="1" x14ac:dyDescent="0.25">
      <c r="B3306" s="89">
        <v>44539.125</v>
      </c>
      <c r="C3306" s="92" t="s">
        <v>3105</v>
      </c>
      <c r="D3306" s="23"/>
      <c r="E3306" s="91">
        <v>4180000</v>
      </c>
      <c r="F3306" s="93"/>
      <c r="G3306" s="93">
        <f t="shared" si="633"/>
        <v>4180000</v>
      </c>
      <c r="H3306" s="94"/>
      <c r="I3306" s="94"/>
      <c r="J3306" s="91">
        <v>35775.620000000003</v>
      </c>
      <c r="K3306" s="25">
        <f t="shared" si="634"/>
        <v>4144224.38</v>
      </c>
      <c r="L3306" s="95">
        <f>+L3305-G3306</f>
        <v>5155334</v>
      </c>
      <c r="M3306" s="20"/>
      <c r="N3306" s="20"/>
      <c r="P3306" s="84">
        <v>9427107320</v>
      </c>
      <c r="Q3306" s="174">
        <v>44470</v>
      </c>
      <c r="R3306" s="125">
        <v>416500</v>
      </c>
      <c r="S3306" s="125">
        <v>533200</v>
      </c>
      <c r="W3306" s="31"/>
      <c r="X3306" s="131"/>
    </row>
    <row r="3307" spans="1:24" ht="15" hidden="1" x14ac:dyDescent="0.25">
      <c r="B3307" s="89">
        <v>44557.125</v>
      </c>
      <c r="C3307" s="92" t="s">
        <v>3106</v>
      </c>
      <c r="D3307" s="23"/>
      <c r="E3307" s="91">
        <v>4180000</v>
      </c>
      <c r="F3307" s="93"/>
      <c r="G3307" s="93">
        <f t="shared" si="633"/>
        <v>4180000</v>
      </c>
      <c r="H3307" s="94"/>
      <c r="I3307" s="94"/>
      <c r="J3307" s="91">
        <v>35775.620000000003</v>
      </c>
      <c r="K3307" s="25">
        <f t="shared" si="634"/>
        <v>4144224.38</v>
      </c>
      <c r="L3307" s="95">
        <f>+L3306-G3307</f>
        <v>975334</v>
      </c>
      <c r="M3307" s="20"/>
      <c r="N3307" s="20"/>
      <c r="P3307" s="84">
        <v>9428233472</v>
      </c>
      <c r="Q3307" s="174">
        <v>44501</v>
      </c>
      <c r="R3307" s="125">
        <v>416500</v>
      </c>
      <c r="S3307" s="125">
        <v>533200</v>
      </c>
      <c r="W3307" s="31"/>
      <c r="X3307" s="131"/>
    </row>
    <row r="3308" spans="1:24" ht="15" hidden="1" x14ac:dyDescent="0.25">
      <c r="B3308" s="89"/>
      <c r="C3308" s="92"/>
      <c r="D3308" s="23"/>
      <c r="E3308" s="91"/>
      <c r="F3308" s="93"/>
      <c r="G3308" s="93"/>
      <c r="H3308" s="94"/>
      <c r="I3308" s="94"/>
      <c r="J3308" s="91"/>
      <c r="K3308" s="25"/>
      <c r="L3308" s="95"/>
      <c r="M3308" s="20"/>
      <c r="N3308" s="20"/>
      <c r="P3308" s="84"/>
      <c r="Q3308" s="174"/>
      <c r="R3308" s="177">
        <f>SUM(R3297:R3307)</f>
        <v>3353200</v>
      </c>
      <c r="S3308" s="178">
        <f>SUM(S3297:S3307)</f>
        <v>4292800</v>
      </c>
      <c r="W3308" s="31"/>
      <c r="X3308" s="131"/>
    </row>
    <row r="3309" spans="1:24" ht="15" hidden="1" x14ac:dyDescent="0.25">
      <c r="A3309" s="21">
        <v>2542021</v>
      </c>
      <c r="B3309" s="139" t="s">
        <v>3107</v>
      </c>
      <c r="C3309" s="140"/>
      <c r="D3309" s="141">
        <v>31993173</v>
      </c>
      <c r="E3309" s="141">
        <f>+D3309</f>
        <v>31993173</v>
      </c>
      <c r="F3309" s="141"/>
      <c r="G3309" s="141"/>
      <c r="H3309" s="141"/>
      <c r="I3309" s="141"/>
      <c r="J3309" s="141"/>
      <c r="K3309" s="141"/>
      <c r="L3309" s="141">
        <f>+D3309</f>
        <v>31993173</v>
      </c>
      <c r="M3309" s="142"/>
      <c r="N3309" s="142"/>
      <c r="O3309" s="149">
        <f>+VLOOKUP(A3309,'[1]ANEXO 7 - PPTO VIG 2021'!$H$8:$AB$160,21,)-L3320</f>
        <v>-99978</v>
      </c>
    </row>
    <row r="3310" spans="1:24" ht="15" hidden="1" x14ac:dyDescent="0.25">
      <c r="B3310" s="89">
        <v>44272.083333333336</v>
      </c>
      <c r="C3310" s="92" t="s">
        <v>3108</v>
      </c>
      <c r="D3310" s="23"/>
      <c r="E3310" s="91">
        <v>1899595</v>
      </c>
      <c r="F3310" s="93"/>
      <c r="G3310" s="93">
        <f t="shared" ref="G3310:G3320" si="636">+E3310</f>
        <v>1899595</v>
      </c>
      <c r="H3310" s="94"/>
      <c r="I3310" s="94"/>
      <c r="J3310" s="91">
        <v>16258.18</v>
      </c>
      <c r="K3310" s="25">
        <f t="shared" ref="K3310:K3320" si="637">+G3310-H3310-I3310-J3310</f>
        <v>1883336.82</v>
      </c>
      <c r="L3310" s="95">
        <f t="shared" ref="L3310:L3315" si="638">+L3309-G3310</f>
        <v>30093578</v>
      </c>
      <c r="M3310" s="96"/>
      <c r="N3310" s="96"/>
      <c r="P3310" s="21">
        <v>8611921434</v>
      </c>
      <c r="Q3310" s="127">
        <v>44228</v>
      </c>
      <c r="R3310" s="14">
        <v>150000</v>
      </c>
      <c r="S3310" s="14">
        <v>192000</v>
      </c>
      <c r="T3310" s="3">
        <f>+L3309-99978</f>
        <v>31893195</v>
      </c>
      <c r="U3310" s="3">
        <f>+T3310*40%</f>
        <v>12757278</v>
      </c>
    </row>
    <row r="3311" spans="1:24" ht="15" hidden="1" x14ac:dyDescent="0.25">
      <c r="B3311" s="89">
        <v>44295.083333333336</v>
      </c>
      <c r="C3311" s="92" t="s">
        <v>3109</v>
      </c>
      <c r="D3311" s="23"/>
      <c r="E3311" s="91">
        <v>2999360</v>
      </c>
      <c r="F3311" s="93"/>
      <c r="G3311" s="93">
        <f t="shared" si="636"/>
        <v>2999360</v>
      </c>
      <c r="H3311" s="94"/>
      <c r="I3311" s="94"/>
      <c r="J3311" s="91">
        <v>25670.799999999999</v>
      </c>
      <c r="K3311" s="25">
        <f t="shared" si="637"/>
        <v>2973689.2</v>
      </c>
      <c r="L3311" s="95">
        <f t="shared" si="638"/>
        <v>27094218</v>
      </c>
      <c r="M3311" s="96"/>
      <c r="N3311" s="96"/>
      <c r="P3311" s="55">
        <v>8612358486</v>
      </c>
      <c r="Q3311" s="127">
        <v>44256</v>
      </c>
      <c r="R3311" s="14">
        <v>150000</v>
      </c>
      <c r="S3311" s="14">
        <v>192000</v>
      </c>
      <c r="U3311" s="3"/>
    </row>
    <row r="3312" spans="1:24" ht="15" hidden="1" x14ac:dyDescent="0.25">
      <c r="B3312" s="89">
        <v>44326.083333333336</v>
      </c>
      <c r="C3312" s="92" t="s">
        <v>3110</v>
      </c>
      <c r="D3312" s="23"/>
      <c r="E3312" s="91">
        <v>2999360</v>
      </c>
      <c r="F3312" s="93"/>
      <c r="G3312" s="93">
        <f t="shared" si="636"/>
        <v>2999360</v>
      </c>
      <c r="H3312" s="94"/>
      <c r="I3312" s="94"/>
      <c r="J3312" s="91">
        <v>25670.799999999999</v>
      </c>
      <c r="K3312" s="25">
        <f t="shared" si="637"/>
        <v>2973689.2</v>
      </c>
      <c r="L3312" s="95">
        <f t="shared" si="638"/>
        <v>24094858</v>
      </c>
      <c r="M3312" s="20">
        <v>2999360</v>
      </c>
      <c r="N3312" s="20">
        <f>+G3312-M3312</f>
        <v>0</v>
      </c>
      <c r="P3312" s="55">
        <v>8612394526</v>
      </c>
      <c r="Q3312" s="127">
        <v>44287</v>
      </c>
      <c r="R3312" s="14">
        <v>150000</v>
      </c>
      <c r="S3312" s="14">
        <v>192000</v>
      </c>
      <c r="U3312" s="3">
        <f>+U3310*12.5%</f>
        <v>1594659.75</v>
      </c>
      <c r="V3312" s="172" t="s">
        <v>2769</v>
      </c>
    </row>
    <row r="3313" spans="1:24" ht="15" hidden="1" x14ac:dyDescent="0.25">
      <c r="B3313" s="89">
        <v>44358.083333333336</v>
      </c>
      <c r="C3313" s="92" t="s">
        <v>3111</v>
      </c>
      <c r="D3313" s="23"/>
      <c r="E3313" s="91">
        <v>2999360</v>
      </c>
      <c r="F3313" s="93"/>
      <c r="G3313" s="93">
        <f t="shared" si="636"/>
        <v>2999360</v>
      </c>
      <c r="H3313" s="94"/>
      <c r="I3313" s="94"/>
      <c r="J3313" s="91">
        <v>25670.799999999999</v>
      </c>
      <c r="K3313" s="25">
        <f t="shared" si="637"/>
        <v>2973689.2</v>
      </c>
      <c r="L3313" s="95">
        <f t="shared" si="638"/>
        <v>21095498</v>
      </c>
      <c r="M3313" s="20"/>
      <c r="N3313" s="20"/>
      <c r="P3313" s="55">
        <v>8612950565</v>
      </c>
      <c r="Q3313" s="127">
        <v>44317</v>
      </c>
      <c r="R3313" s="14">
        <v>150000</v>
      </c>
      <c r="S3313" s="14">
        <v>192000</v>
      </c>
      <c r="U3313" s="3">
        <f>+U3310*16%</f>
        <v>2041164.48</v>
      </c>
      <c r="V3313" s="173" t="s">
        <v>2771</v>
      </c>
    </row>
    <row r="3314" spans="1:24" ht="15" hidden="1" x14ac:dyDescent="0.25">
      <c r="B3314" s="89">
        <v>44385.083333333336</v>
      </c>
      <c r="C3314" s="92" t="s">
        <v>3112</v>
      </c>
      <c r="D3314" s="23"/>
      <c r="E3314" s="91">
        <v>2999360</v>
      </c>
      <c r="F3314" s="93"/>
      <c r="G3314" s="93">
        <f t="shared" si="636"/>
        <v>2999360</v>
      </c>
      <c r="H3314" s="94"/>
      <c r="I3314" s="94"/>
      <c r="J3314" s="91">
        <v>25670.799999999999</v>
      </c>
      <c r="K3314" s="25">
        <f t="shared" si="637"/>
        <v>2973689.2</v>
      </c>
      <c r="L3314" s="95">
        <f t="shared" si="638"/>
        <v>18096138</v>
      </c>
      <c r="M3314" s="20"/>
      <c r="N3314" s="20"/>
      <c r="P3314" s="84">
        <v>8613478432</v>
      </c>
      <c r="Q3314" s="174">
        <v>44348</v>
      </c>
      <c r="R3314" s="14">
        <v>150000</v>
      </c>
      <c r="S3314" s="14">
        <v>192000</v>
      </c>
    </row>
    <row r="3315" spans="1:24" ht="15" hidden="1" x14ac:dyDescent="0.25">
      <c r="B3315" s="89">
        <v>44419.083333333336</v>
      </c>
      <c r="C3315" s="92" t="s">
        <v>3113</v>
      </c>
      <c r="D3315" s="23"/>
      <c r="E3315" s="91">
        <v>2999360</v>
      </c>
      <c r="F3315" s="93"/>
      <c r="G3315" s="93">
        <f t="shared" si="636"/>
        <v>2999360</v>
      </c>
      <c r="H3315" s="94"/>
      <c r="I3315" s="94"/>
      <c r="J3315" s="91">
        <v>25670.799999999999</v>
      </c>
      <c r="K3315" s="25">
        <f t="shared" si="637"/>
        <v>2973689.2</v>
      </c>
      <c r="L3315" s="95">
        <f t="shared" si="638"/>
        <v>15096778</v>
      </c>
      <c r="M3315" s="20"/>
      <c r="N3315" s="20"/>
      <c r="P3315" s="84">
        <v>8613984460</v>
      </c>
      <c r="Q3315" s="174">
        <v>44378</v>
      </c>
      <c r="R3315" s="14">
        <v>150000</v>
      </c>
      <c r="S3315" s="14">
        <v>192000</v>
      </c>
      <c r="W3315" s="31">
        <v>2999360</v>
      </c>
      <c r="X3315" s="131">
        <f>+E3315-W3315</f>
        <v>0</v>
      </c>
    </row>
    <row r="3316" spans="1:24" ht="15" hidden="1" x14ac:dyDescent="0.25">
      <c r="B3316" s="89">
        <v>44448.083333333336</v>
      </c>
      <c r="C3316" s="92" t="s">
        <v>3114</v>
      </c>
      <c r="D3316" s="23"/>
      <c r="E3316" s="91">
        <v>2999360</v>
      </c>
      <c r="F3316" s="93"/>
      <c r="G3316" s="93">
        <f t="shared" si="636"/>
        <v>2999360</v>
      </c>
      <c r="H3316" s="94"/>
      <c r="I3316" s="94"/>
      <c r="J3316" s="91">
        <v>25670.799999999999</v>
      </c>
      <c r="K3316" s="25">
        <f t="shared" si="637"/>
        <v>2973689.2</v>
      </c>
      <c r="L3316" s="95">
        <f>+L3315-G3316</f>
        <v>12097418</v>
      </c>
      <c r="M3316" s="20"/>
      <c r="N3316" s="20"/>
      <c r="P3316" s="84">
        <v>8614606218</v>
      </c>
      <c r="Q3316" s="174">
        <v>44409</v>
      </c>
      <c r="R3316" s="14">
        <v>150000</v>
      </c>
      <c r="S3316" s="14">
        <v>192000</v>
      </c>
      <c r="W3316" s="31"/>
      <c r="X3316" s="131"/>
    </row>
    <row r="3317" spans="1:24" ht="15" hidden="1" x14ac:dyDescent="0.25">
      <c r="B3317" s="89">
        <v>44482.083333333336</v>
      </c>
      <c r="C3317" s="92" t="s">
        <v>3115</v>
      </c>
      <c r="D3317" s="23"/>
      <c r="E3317" s="91">
        <v>2999360</v>
      </c>
      <c r="F3317" s="93"/>
      <c r="G3317" s="93">
        <f t="shared" si="636"/>
        <v>2999360</v>
      </c>
      <c r="H3317" s="94"/>
      <c r="I3317" s="94"/>
      <c r="J3317" s="91">
        <v>25670.799999999999</v>
      </c>
      <c r="K3317" s="25">
        <f t="shared" si="637"/>
        <v>2973689.2</v>
      </c>
      <c r="L3317" s="95">
        <f>+L3316-G3317</f>
        <v>9098058</v>
      </c>
      <c r="M3317" s="20"/>
      <c r="N3317" s="20"/>
      <c r="P3317" s="84">
        <v>8615684125</v>
      </c>
      <c r="Q3317" s="174">
        <v>44440</v>
      </c>
      <c r="R3317" s="14">
        <v>150000</v>
      </c>
      <c r="S3317" s="14">
        <v>192000</v>
      </c>
      <c r="W3317" s="31"/>
      <c r="X3317" s="131"/>
    </row>
    <row r="3318" spans="1:24" ht="15" hidden="1" x14ac:dyDescent="0.25">
      <c r="B3318" s="89">
        <v>44511.125</v>
      </c>
      <c r="C3318" s="92" t="s">
        <v>3116</v>
      </c>
      <c r="D3318" s="23"/>
      <c r="E3318" s="91">
        <v>2999360</v>
      </c>
      <c r="F3318" s="93"/>
      <c r="G3318" s="93">
        <f t="shared" si="636"/>
        <v>2999360</v>
      </c>
      <c r="H3318" s="94"/>
      <c r="I3318" s="94"/>
      <c r="J3318" s="91">
        <v>25670.799999999999</v>
      </c>
      <c r="K3318" s="25">
        <f t="shared" si="637"/>
        <v>2973689.2</v>
      </c>
      <c r="L3318" s="95">
        <f>+L3317-G3318</f>
        <v>6098698</v>
      </c>
      <c r="M3318" s="20"/>
      <c r="N3318" s="20"/>
      <c r="P3318" s="84">
        <v>8615815114</v>
      </c>
      <c r="Q3318" s="174">
        <v>44470</v>
      </c>
      <c r="R3318" s="14">
        <v>150000</v>
      </c>
      <c r="S3318" s="14">
        <v>192000</v>
      </c>
      <c r="W3318" s="31"/>
      <c r="X3318" s="131"/>
    </row>
    <row r="3319" spans="1:24" ht="15" hidden="1" x14ac:dyDescent="0.25">
      <c r="B3319" s="89">
        <v>44543.125</v>
      </c>
      <c r="C3319" s="92" t="s">
        <v>3117</v>
      </c>
      <c r="D3319" s="23"/>
      <c r="E3319" s="91">
        <v>2999360</v>
      </c>
      <c r="F3319" s="93"/>
      <c r="G3319" s="93">
        <f t="shared" si="636"/>
        <v>2999360</v>
      </c>
      <c r="H3319" s="94"/>
      <c r="I3319" s="94"/>
      <c r="J3319" s="91">
        <v>25670.799999999999</v>
      </c>
      <c r="K3319" s="25">
        <f t="shared" si="637"/>
        <v>2973689.2</v>
      </c>
      <c r="L3319" s="95">
        <f>+L3318-G3319</f>
        <v>3099338</v>
      </c>
      <c r="M3319" s="20"/>
      <c r="N3319" s="20"/>
      <c r="P3319" s="84">
        <v>8616156603</v>
      </c>
      <c r="Q3319" s="174">
        <v>44501</v>
      </c>
      <c r="R3319" s="14">
        <v>150000</v>
      </c>
      <c r="S3319" s="14">
        <v>192000</v>
      </c>
      <c r="W3319" s="31"/>
      <c r="X3319" s="131"/>
    </row>
    <row r="3320" spans="1:24" ht="15" hidden="1" x14ac:dyDescent="0.25">
      <c r="B3320" s="89">
        <v>44551.125</v>
      </c>
      <c r="C3320" s="92" t="s">
        <v>3118</v>
      </c>
      <c r="D3320" s="23"/>
      <c r="E3320" s="91">
        <v>2999360</v>
      </c>
      <c r="F3320" s="93"/>
      <c r="G3320" s="93">
        <f t="shared" si="636"/>
        <v>2999360</v>
      </c>
      <c r="H3320" s="94"/>
      <c r="I3320" s="94"/>
      <c r="J3320" s="91">
        <v>25670.799999999999</v>
      </c>
      <c r="K3320" s="25">
        <f t="shared" si="637"/>
        <v>2973689.2</v>
      </c>
      <c r="L3320" s="95">
        <f>+L3319-G3320</f>
        <v>99978</v>
      </c>
      <c r="M3320" s="20"/>
      <c r="N3320" s="20"/>
      <c r="P3320" s="84">
        <v>22089357</v>
      </c>
      <c r="Q3320" s="174">
        <v>44531</v>
      </c>
      <c r="R3320" s="14">
        <v>150000</v>
      </c>
      <c r="S3320" s="14">
        <v>192000</v>
      </c>
      <c r="W3320" s="31"/>
      <c r="X3320" s="131"/>
    </row>
    <row r="3321" spans="1:24" ht="15" hidden="1" x14ac:dyDescent="0.25">
      <c r="B3321" s="89"/>
      <c r="C3321" s="92"/>
      <c r="D3321" s="23"/>
      <c r="E3321" s="91"/>
      <c r="F3321" s="93"/>
      <c r="G3321" s="93"/>
      <c r="H3321" s="94"/>
      <c r="I3321" s="94"/>
      <c r="J3321" s="91"/>
      <c r="K3321" s="25"/>
      <c r="L3321" s="95"/>
      <c r="M3321" s="20"/>
      <c r="N3321" s="20"/>
      <c r="P3321" s="84"/>
      <c r="Q3321" s="174"/>
      <c r="R3321" s="177">
        <f>SUM(R3310:R3320)</f>
        <v>1650000</v>
      </c>
      <c r="S3321" s="178">
        <f>SUM(S3310:S3320)</f>
        <v>2112000</v>
      </c>
      <c r="W3321" s="31"/>
      <c r="X3321" s="131"/>
    </row>
    <row r="3322" spans="1:24" ht="15" hidden="1" x14ac:dyDescent="0.25">
      <c r="A3322" s="21">
        <v>3092021</v>
      </c>
      <c r="B3322" s="139" t="s">
        <v>3119</v>
      </c>
      <c r="C3322" s="140"/>
      <c r="D3322" s="141">
        <v>90640000</v>
      </c>
      <c r="E3322" s="141">
        <f>+D3322</f>
        <v>90640000</v>
      </c>
      <c r="F3322" s="141"/>
      <c r="G3322" s="141"/>
      <c r="H3322" s="141"/>
      <c r="I3322" s="141"/>
      <c r="J3322" s="141"/>
      <c r="K3322" s="141"/>
      <c r="L3322" s="141">
        <f>+D3322</f>
        <v>90640000</v>
      </c>
      <c r="M3322" s="142"/>
      <c r="N3322" s="142"/>
      <c r="O3322" s="149">
        <f>+VLOOKUP(A3322,'[1]ANEXO 7 - PPTO VIG 2021'!$H$8:$AB$160,21,)-L3334</f>
        <v>-5493333</v>
      </c>
    </row>
    <row r="3323" spans="1:24" ht="15" hidden="1" x14ac:dyDescent="0.25">
      <c r="B3323" s="180"/>
      <c r="C3323" s="181"/>
      <c r="D3323" s="182"/>
      <c r="E3323" s="182"/>
      <c r="F3323" s="182"/>
      <c r="G3323" s="182"/>
      <c r="H3323" s="182"/>
      <c r="I3323" s="182"/>
      <c r="J3323" s="182"/>
      <c r="K3323" s="182"/>
      <c r="L3323" s="182"/>
      <c r="M3323" s="183"/>
      <c r="N3323" s="183"/>
      <c r="O3323" s="81"/>
      <c r="P3323" s="21">
        <v>4425598849</v>
      </c>
      <c r="Q3323" s="127">
        <v>44197</v>
      </c>
      <c r="R3323" s="14">
        <v>113600</v>
      </c>
      <c r="S3323" s="14">
        <v>145400</v>
      </c>
    </row>
    <row r="3324" spans="1:24" ht="15" hidden="1" x14ac:dyDescent="0.25">
      <c r="B3324" s="89">
        <v>44273.083333333336</v>
      </c>
      <c r="C3324" s="92" t="s">
        <v>3120</v>
      </c>
      <c r="D3324" s="23"/>
      <c r="E3324" s="91">
        <v>2746667</v>
      </c>
      <c r="F3324" s="93"/>
      <c r="G3324" s="93">
        <f>+E3324</f>
        <v>2746667</v>
      </c>
      <c r="H3324" s="94"/>
      <c r="I3324" s="94"/>
      <c r="J3324" s="91">
        <v>23508.06</v>
      </c>
      <c r="K3324" s="25">
        <f t="shared" ref="K3324:K3334" si="639">+G3324-H3324-I3324-J3324</f>
        <v>2723158.94</v>
      </c>
      <c r="L3324" s="95">
        <f>+L3322-G3324</f>
        <v>87893333</v>
      </c>
      <c r="M3324" s="96"/>
      <c r="N3324" s="96"/>
      <c r="P3324" s="21">
        <v>4379264458</v>
      </c>
      <c r="Q3324" s="127">
        <v>44228</v>
      </c>
      <c r="R3324" s="14">
        <v>125000</v>
      </c>
      <c r="S3324" s="14">
        <v>160000</v>
      </c>
      <c r="T3324" s="3">
        <f>+L3322-5493333</f>
        <v>85146667</v>
      </c>
      <c r="U3324" s="3">
        <f>+T3324*40%</f>
        <v>34058666.800000004</v>
      </c>
    </row>
    <row r="3325" spans="1:24" ht="15" hidden="1" x14ac:dyDescent="0.25">
      <c r="B3325" s="89">
        <v>44300.083333333336</v>
      </c>
      <c r="C3325" s="92" t="s">
        <v>3121</v>
      </c>
      <c r="D3325" s="23"/>
      <c r="E3325" s="91">
        <v>8240000</v>
      </c>
      <c r="F3325" s="93"/>
      <c r="G3325" s="93">
        <f>+E3325</f>
        <v>8240000</v>
      </c>
      <c r="H3325" s="94"/>
      <c r="I3325" s="94">
        <v>265096.53999999998</v>
      </c>
      <c r="J3325" s="91">
        <v>70524.179999999993</v>
      </c>
      <c r="K3325" s="25">
        <f t="shared" si="639"/>
        <v>7904379.2800000003</v>
      </c>
      <c r="L3325" s="95">
        <f t="shared" ref="L3325:L3334" si="640">+L3324-G3325</f>
        <v>79653333</v>
      </c>
      <c r="M3325" s="96"/>
      <c r="N3325" s="96"/>
      <c r="P3325" s="55">
        <v>4384358411</v>
      </c>
      <c r="Q3325" s="127">
        <v>44256</v>
      </c>
      <c r="R3325" s="14">
        <v>412500</v>
      </c>
      <c r="S3325" s="14">
        <v>528000</v>
      </c>
      <c r="U3325" s="3"/>
    </row>
    <row r="3326" spans="1:24" ht="15" hidden="1" x14ac:dyDescent="0.25">
      <c r="B3326" s="89">
        <v>44328.083333333336</v>
      </c>
      <c r="C3326" s="92" t="s">
        <v>3122</v>
      </c>
      <c r="D3326" s="23"/>
      <c r="E3326" s="91">
        <v>8240000</v>
      </c>
      <c r="F3326" s="93"/>
      <c r="G3326" s="93">
        <f>+E3326</f>
        <v>8240000</v>
      </c>
      <c r="H3326" s="94"/>
      <c r="I3326" s="94">
        <v>265096.53999999998</v>
      </c>
      <c r="J3326" s="91">
        <v>70524.179999999993</v>
      </c>
      <c r="K3326" s="25">
        <f t="shared" si="639"/>
        <v>7904379.2800000003</v>
      </c>
      <c r="L3326" s="95">
        <f t="shared" si="640"/>
        <v>71413333</v>
      </c>
      <c r="M3326" s="20">
        <v>8240000</v>
      </c>
      <c r="N3326" s="20">
        <f>+G3326-M3326</f>
        <v>0</v>
      </c>
      <c r="P3326" s="84">
        <v>4388318641</v>
      </c>
      <c r="Q3326" s="174">
        <v>44287</v>
      </c>
      <c r="R3326" s="14">
        <v>412500</v>
      </c>
      <c r="S3326" s="14">
        <v>528000</v>
      </c>
      <c r="U3326" s="3">
        <f>+U3324*12.5%</f>
        <v>4257333.3500000006</v>
      </c>
      <c r="V3326" s="172" t="s">
        <v>2769</v>
      </c>
    </row>
    <row r="3327" spans="1:24" ht="15" hidden="1" x14ac:dyDescent="0.25">
      <c r="B3327" s="89">
        <v>44371.083333333336</v>
      </c>
      <c r="C3327" s="92" t="s">
        <v>3123</v>
      </c>
      <c r="D3327" s="23"/>
      <c r="E3327" s="91">
        <v>8240000</v>
      </c>
      <c r="F3327" s="93"/>
      <c r="G3327" s="93">
        <v>8240000</v>
      </c>
      <c r="H3327" s="94"/>
      <c r="I3327" s="94">
        <v>265096.53999999998</v>
      </c>
      <c r="J3327" s="91">
        <v>70524.179999999993</v>
      </c>
      <c r="K3327" s="25">
        <f t="shared" si="639"/>
        <v>7904379.2800000003</v>
      </c>
      <c r="L3327" s="95">
        <f t="shared" si="640"/>
        <v>63173333</v>
      </c>
      <c r="M3327" s="20"/>
      <c r="N3327" s="20"/>
      <c r="P3327" s="21">
        <v>4995850049</v>
      </c>
      <c r="Q3327" s="98">
        <v>44317</v>
      </c>
      <c r="R3327" s="14">
        <v>412500</v>
      </c>
      <c r="S3327" s="14">
        <v>528000</v>
      </c>
      <c r="U3327" s="3">
        <f>+U3324*16%</f>
        <v>5449386.688000001</v>
      </c>
      <c r="V3327" s="173" t="s">
        <v>2771</v>
      </c>
    </row>
    <row r="3328" spans="1:24" ht="15" hidden="1" x14ac:dyDescent="0.25">
      <c r="B3328" s="89">
        <v>44392.083333333336</v>
      </c>
      <c r="C3328" s="92" t="s">
        <v>3124</v>
      </c>
      <c r="D3328" s="23"/>
      <c r="E3328" s="91">
        <v>8240000</v>
      </c>
      <c r="F3328" s="93"/>
      <c r="G3328" s="93">
        <v>8240000</v>
      </c>
      <c r="H3328" s="94"/>
      <c r="I3328" s="94">
        <v>265096.53999999998</v>
      </c>
      <c r="J3328" s="91">
        <v>70524.179999999993</v>
      </c>
      <c r="K3328" s="25">
        <f t="shared" si="639"/>
        <v>7904379.2800000003</v>
      </c>
      <c r="L3328" s="95">
        <f t="shared" si="640"/>
        <v>54933333</v>
      </c>
      <c r="M3328" s="20"/>
      <c r="N3328" s="20"/>
      <c r="P3328" s="84">
        <v>4400116939</v>
      </c>
      <c r="Q3328" s="174">
        <v>44348</v>
      </c>
      <c r="R3328" s="14">
        <v>412500</v>
      </c>
      <c r="S3328" s="14">
        <v>528000</v>
      </c>
    </row>
    <row r="3329" spans="1:24" ht="15" hidden="1" x14ac:dyDescent="0.25">
      <c r="B3329" s="89">
        <v>44425.083333333336</v>
      </c>
      <c r="C3329" s="92" t="s">
        <v>3125</v>
      </c>
      <c r="D3329" s="23"/>
      <c r="E3329" s="91">
        <v>8240000</v>
      </c>
      <c r="F3329" s="93"/>
      <c r="G3329" s="93">
        <v>8240000</v>
      </c>
      <c r="H3329" s="94"/>
      <c r="I3329" s="94">
        <v>265096.53999999998</v>
      </c>
      <c r="J3329" s="91">
        <v>70524.179999999993</v>
      </c>
      <c r="K3329" s="25">
        <f t="shared" si="639"/>
        <v>7904379.2800000003</v>
      </c>
      <c r="L3329" s="95">
        <f t="shared" si="640"/>
        <v>46693333</v>
      </c>
      <c r="M3329" s="20"/>
      <c r="N3329" s="20"/>
      <c r="P3329" s="84">
        <v>4404134311</v>
      </c>
      <c r="Q3329" s="174">
        <v>44378</v>
      </c>
      <c r="R3329" s="14">
        <v>412500</v>
      </c>
      <c r="S3329" s="14">
        <v>528000</v>
      </c>
      <c r="U3329" s="179">
        <f>+U3326-R3335</f>
        <v>-106266.64999999944</v>
      </c>
      <c r="W3329" s="31">
        <v>8240000</v>
      </c>
      <c r="X3329" s="131">
        <f>+E3329-W3329</f>
        <v>0</v>
      </c>
    </row>
    <row r="3330" spans="1:24" ht="15" hidden="1" x14ac:dyDescent="0.25">
      <c r="B3330" s="89">
        <v>44454.083333333336</v>
      </c>
      <c r="C3330" s="92" t="s">
        <v>3126</v>
      </c>
      <c r="D3330" s="23"/>
      <c r="E3330" s="91">
        <v>8240000</v>
      </c>
      <c r="F3330" s="93"/>
      <c r="G3330" s="93">
        <v>8240000</v>
      </c>
      <c r="H3330" s="94"/>
      <c r="I3330" s="94">
        <v>265096.53999999998</v>
      </c>
      <c r="J3330" s="91">
        <v>70524.179999999993</v>
      </c>
      <c r="K3330" s="25">
        <f t="shared" si="639"/>
        <v>7904379.2800000003</v>
      </c>
      <c r="L3330" s="95">
        <f t="shared" si="640"/>
        <v>38453333</v>
      </c>
      <c r="M3330" s="20"/>
      <c r="N3330" s="20"/>
      <c r="P3330" s="84">
        <v>4407199732</v>
      </c>
      <c r="Q3330" s="174">
        <v>44409</v>
      </c>
      <c r="R3330" s="14">
        <v>412500</v>
      </c>
      <c r="S3330" s="14">
        <v>528000</v>
      </c>
      <c r="U3330" s="179">
        <f>+U3327-S3335</f>
        <v>-136013.31199999899</v>
      </c>
      <c r="W3330" s="31"/>
      <c r="X3330" s="131"/>
    </row>
    <row r="3331" spans="1:24" ht="15" hidden="1" x14ac:dyDescent="0.25">
      <c r="B3331" s="89">
        <v>44488.083333333336</v>
      </c>
      <c r="C3331" s="92" t="s">
        <v>3127</v>
      </c>
      <c r="D3331" s="23"/>
      <c r="E3331" s="91">
        <v>8240000</v>
      </c>
      <c r="F3331" s="93"/>
      <c r="G3331" s="93">
        <v>8240000</v>
      </c>
      <c r="H3331" s="94"/>
      <c r="I3331" s="94">
        <v>265096.53999999998</v>
      </c>
      <c r="J3331" s="91">
        <v>70524.179999999993</v>
      </c>
      <c r="K3331" s="25">
        <f t="shared" si="639"/>
        <v>7904379.2800000003</v>
      </c>
      <c r="L3331" s="95">
        <f t="shared" si="640"/>
        <v>30213333</v>
      </c>
      <c r="M3331" s="20"/>
      <c r="N3331" s="20"/>
      <c r="P3331" s="84">
        <v>4413492069</v>
      </c>
      <c r="Q3331" s="174">
        <v>44440</v>
      </c>
      <c r="R3331" s="14">
        <v>412500</v>
      </c>
      <c r="S3331" s="14">
        <v>528000</v>
      </c>
      <c r="W3331" s="31"/>
      <c r="X3331" s="131"/>
    </row>
    <row r="3332" spans="1:24" ht="15" hidden="1" x14ac:dyDescent="0.25">
      <c r="B3332" s="89">
        <v>44519.125</v>
      </c>
      <c r="C3332" s="92" t="s">
        <v>3128</v>
      </c>
      <c r="D3332" s="23"/>
      <c r="E3332" s="91">
        <v>8240000</v>
      </c>
      <c r="F3332" s="93"/>
      <c r="G3332" s="93">
        <v>8240000</v>
      </c>
      <c r="H3332" s="94"/>
      <c r="I3332" s="94">
        <v>265096.53999999998</v>
      </c>
      <c r="J3332" s="91">
        <v>70524.179999999993</v>
      </c>
      <c r="K3332" s="25">
        <f t="shared" si="639"/>
        <v>7904379.2800000003</v>
      </c>
      <c r="L3332" s="95">
        <f t="shared" si="640"/>
        <v>21973333</v>
      </c>
      <c r="M3332" s="20"/>
      <c r="N3332" s="20"/>
      <c r="P3332" s="84">
        <v>4417889400</v>
      </c>
      <c r="Q3332" s="174">
        <v>44470</v>
      </c>
      <c r="R3332" s="14">
        <v>412500</v>
      </c>
      <c r="S3332" s="14">
        <v>528000</v>
      </c>
      <c r="W3332" s="31"/>
      <c r="X3332" s="131"/>
    </row>
    <row r="3333" spans="1:24" ht="15" hidden="1" x14ac:dyDescent="0.25">
      <c r="B3333" s="89">
        <v>44545.125</v>
      </c>
      <c r="C3333" s="92" t="s">
        <v>3129</v>
      </c>
      <c r="D3333" s="23"/>
      <c r="E3333" s="91">
        <v>8240000</v>
      </c>
      <c r="F3333" s="93"/>
      <c r="G3333" s="93">
        <v>8240000</v>
      </c>
      <c r="H3333" s="94"/>
      <c r="I3333" s="94">
        <v>265096.53999999998</v>
      </c>
      <c r="J3333" s="91">
        <v>70524.179999999993</v>
      </c>
      <c r="K3333" s="25">
        <f t="shared" si="639"/>
        <v>7904379.2800000003</v>
      </c>
      <c r="L3333" s="95">
        <f t="shared" si="640"/>
        <v>13733333</v>
      </c>
      <c r="M3333" s="20"/>
      <c r="N3333" s="20"/>
      <c r="P3333" s="84">
        <v>4422695177</v>
      </c>
      <c r="Q3333" s="174">
        <v>44501</v>
      </c>
      <c r="R3333" s="14">
        <v>412500</v>
      </c>
      <c r="S3333" s="14">
        <v>528000</v>
      </c>
      <c r="W3333" s="31"/>
      <c r="X3333" s="131"/>
    </row>
    <row r="3334" spans="1:24" ht="15" hidden="1" x14ac:dyDescent="0.25">
      <c r="B3334" s="89">
        <v>44560.125</v>
      </c>
      <c r="C3334" s="92" t="s">
        <v>3130</v>
      </c>
      <c r="D3334" s="23"/>
      <c r="E3334" s="91">
        <v>8240000</v>
      </c>
      <c r="F3334" s="93"/>
      <c r="G3334" s="93">
        <v>8240000</v>
      </c>
      <c r="H3334" s="94"/>
      <c r="I3334" s="94">
        <v>265096.53999999998</v>
      </c>
      <c r="J3334" s="91">
        <v>70524.179999999993</v>
      </c>
      <c r="K3334" s="25">
        <f t="shared" si="639"/>
        <v>7904379.2800000003</v>
      </c>
      <c r="L3334" s="95">
        <f t="shared" si="640"/>
        <v>5493333</v>
      </c>
      <c r="M3334" s="20"/>
      <c r="N3334" s="20"/>
      <c r="P3334" s="84">
        <v>4423620065</v>
      </c>
      <c r="Q3334" s="174">
        <v>44531</v>
      </c>
      <c r="R3334" s="14">
        <v>412500</v>
      </c>
      <c r="S3334" s="125">
        <v>528000</v>
      </c>
      <c r="W3334" s="31"/>
      <c r="X3334" s="131"/>
    </row>
    <row r="3335" spans="1:24" ht="15" hidden="1" x14ac:dyDescent="0.25">
      <c r="B3335" s="89"/>
      <c r="C3335" s="92"/>
      <c r="D3335" s="23"/>
      <c r="E3335" s="91"/>
      <c r="F3335" s="93"/>
      <c r="G3335" s="93"/>
      <c r="H3335" s="94"/>
      <c r="I3335" s="94"/>
      <c r="J3335" s="91"/>
      <c r="K3335" s="25"/>
      <c r="L3335" s="95"/>
      <c r="M3335" s="20"/>
      <c r="N3335" s="20"/>
      <c r="P3335" s="84"/>
      <c r="Q3335" s="174"/>
      <c r="R3335" s="177">
        <f>SUM(R3323:R3334)</f>
        <v>4363600</v>
      </c>
      <c r="S3335" s="178">
        <f>SUM(S3323:S3334)</f>
        <v>5585400</v>
      </c>
      <c r="W3335" s="31"/>
      <c r="X3335" s="131"/>
    </row>
    <row r="3336" spans="1:24" ht="15" hidden="1" x14ac:dyDescent="0.25">
      <c r="A3336" s="21">
        <v>2302021</v>
      </c>
      <c r="B3336" s="139" t="s">
        <v>3131</v>
      </c>
      <c r="C3336" s="140"/>
      <c r="D3336" s="141">
        <v>45467290</v>
      </c>
      <c r="E3336" s="141">
        <f>+D3336</f>
        <v>45467290</v>
      </c>
      <c r="F3336" s="141"/>
      <c r="G3336" s="141"/>
      <c r="H3336" s="141"/>
      <c r="I3336" s="141"/>
      <c r="J3336" s="141"/>
      <c r="K3336" s="141"/>
      <c r="L3336" s="141">
        <f>+D3336</f>
        <v>45467290</v>
      </c>
      <c r="M3336" s="142"/>
      <c r="N3336" s="142"/>
      <c r="O3336" s="149">
        <f>+VLOOKUP(A3336,'[1]ANEXO 7 - PPTO VIG 2021'!$H$8:$AB$160,21,)-L3347</f>
        <v>-1240017</v>
      </c>
    </row>
    <row r="3337" spans="1:24" ht="15" hidden="1" x14ac:dyDescent="0.25">
      <c r="B3337" s="89">
        <v>44259.125</v>
      </c>
      <c r="C3337" s="92" t="s">
        <v>3132</v>
      </c>
      <c r="D3337" s="23"/>
      <c r="E3337" s="91">
        <v>2893373</v>
      </c>
      <c r="F3337" s="93"/>
      <c r="G3337" s="93">
        <f t="shared" ref="G3337:G3347" si="641">+E3337</f>
        <v>2893373</v>
      </c>
      <c r="H3337" s="94"/>
      <c r="I3337" s="94"/>
      <c r="J3337" s="91">
        <v>27949.98</v>
      </c>
      <c r="K3337" s="25">
        <f t="shared" ref="K3337:K3347" si="642">+G3337-H3337-I3337-J3337</f>
        <v>2865423.02</v>
      </c>
      <c r="L3337" s="95">
        <f t="shared" ref="L3337:L3342" si="643">+L3336-G3337</f>
        <v>42573917</v>
      </c>
      <c r="M3337" s="96"/>
      <c r="N3337" s="96"/>
      <c r="P3337" s="244" t="s">
        <v>3133</v>
      </c>
      <c r="Q3337" s="245"/>
      <c r="R3337" s="245"/>
      <c r="S3337" s="246"/>
      <c r="T3337" s="3">
        <f>+L3336-1240017</f>
        <v>44227273</v>
      </c>
      <c r="U3337" s="3">
        <f>+T3337*40%</f>
        <v>17690909.199999999</v>
      </c>
    </row>
    <row r="3338" spans="1:24" ht="15" hidden="1" x14ac:dyDescent="0.25">
      <c r="B3338" s="89">
        <v>44293.083333333336</v>
      </c>
      <c r="C3338" s="184" t="s">
        <v>3134</v>
      </c>
      <c r="D3338" s="23"/>
      <c r="E3338" s="91">
        <v>4133390</v>
      </c>
      <c r="F3338" s="93"/>
      <c r="G3338" s="93">
        <f t="shared" si="641"/>
        <v>4133390</v>
      </c>
      <c r="H3338" s="94"/>
      <c r="I3338" s="94"/>
      <c r="J3338" s="91">
        <v>35376.69</v>
      </c>
      <c r="K3338" s="25">
        <f t="shared" si="642"/>
        <v>4098013.31</v>
      </c>
      <c r="L3338" s="95">
        <f t="shared" si="643"/>
        <v>38440527</v>
      </c>
      <c r="M3338" s="96"/>
      <c r="N3338" s="96"/>
      <c r="P3338" s="55">
        <v>20069345</v>
      </c>
      <c r="Q3338" s="127">
        <v>44228</v>
      </c>
      <c r="R3338" s="14">
        <v>206700</v>
      </c>
      <c r="S3338" s="14">
        <v>264600</v>
      </c>
      <c r="U3338" s="3"/>
    </row>
    <row r="3339" spans="1:24" ht="15" hidden="1" x14ac:dyDescent="0.25">
      <c r="B3339" s="89">
        <v>44321.083333333336</v>
      </c>
      <c r="C3339" s="92" t="s">
        <v>3135</v>
      </c>
      <c r="D3339" s="23"/>
      <c r="E3339" s="91">
        <v>4133390</v>
      </c>
      <c r="F3339" s="93"/>
      <c r="G3339" s="93">
        <f t="shared" si="641"/>
        <v>4133390</v>
      </c>
      <c r="H3339" s="94"/>
      <c r="I3339" s="94"/>
      <c r="J3339" s="91">
        <v>35376.69</v>
      </c>
      <c r="K3339" s="25">
        <f t="shared" si="642"/>
        <v>4098013.31</v>
      </c>
      <c r="L3339" s="95">
        <f t="shared" si="643"/>
        <v>34307137</v>
      </c>
      <c r="M3339" s="20">
        <v>4133390</v>
      </c>
      <c r="N3339" s="20">
        <f>+G3339-M3339</f>
        <v>0</v>
      </c>
      <c r="P3339" s="21">
        <v>20072908</v>
      </c>
      <c r="Q3339" s="127">
        <v>44256</v>
      </c>
      <c r="R3339" s="14">
        <v>206700</v>
      </c>
      <c r="S3339" s="14">
        <v>264600</v>
      </c>
      <c r="U3339" s="3">
        <f>+U3337*12.5%</f>
        <v>2211363.65</v>
      </c>
      <c r="V3339" s="173" t="s">
        <v>11</v>
      </c>
    </row>
    <row r="3340" spans="1:24" ht="15" hidden="1" x14ac:dyDescent="0.25">
      <c r="B3340" s="89">
        <v>44351.083333333336</v>
      </c>
      <c r="C3340" s="92" t="s">
        <v>3136</v>
      </c>
      <c r="D3340" s="23"/>
      <c r="E3340" s="91">
        <v>4133390</v>
      </c>
      <c r="F3340" s="93"/>
      <c r="G3340" s="93">
        <f t="shared" si="641"/>
        <v>4133390</v>
      </c>
      <c r="H3340" s="94"/>
      <c r="I3340" s="94"/>
      <c r="J3340" s="91">
        <v>35376.69</v>
      </c>
      <c r="K3340" s="25">
        <f t="shared" si="642"/>
        <v>4098013.31</v>
      </c>
      <c r="L3340" s="95">
        <f t="shared" si="643"/>
        <v>30173747</v>
      </c>
      <c r="M3340" s="20"/>
      <c r="N3340" s="20"/>
      <c r="P3340" s="21">
        <v>20299856</v>
      </c>
      <c r="Q3340" s="98">
        <v>44287</v>
      </c>
      <c r="R3340" s="3">
        <v>206700</v>
      </c>
      <c r="S3340" s="3">
        <v>264600</v>
      </c>
      <c r="U3340" s="3">
        <f>+U3337*16%</f>
        <v>2830545.4720000001</v>
      </c>
      <c r="V3340" s="172" t="s">
        <v>12</v>
      </c>
    </row>
    <row r="3341" spans="1:24" ht="15" hidden="1" x14ac:dyDescent="0.25">
      <c r="B3341" s="89">
        <v>44384.083333333336</v>
      </c>
      <c r="C3341" s="92" t="s">
        <v>3137</v>
      </c>
      <c r="D3341" s="23"/>
      <c r="E3341" s="91">
        <v>4133390</v>
      </c>
      <c r="F3341" s="93"/>
      <c r="G3341" s="93">
        <f t="shared" si="641"/>
        <v>4133390</v>
      </c>
      <c r="H3341" s="94"/>
      <c r="I3341" s="94"/>
      <c r="J3341" s="91">
        <v>35376.69</v>
      </c>
      <c r="K3341" s="25">
        <f t="shared" si="642"/>
        <v>4098013.31</v>
      </c>
      <c r="L3341" s="95">
        <f t="shared" si="643"/>
        <v>26040357</v>
      </c>
      <c r="M3341" s="20"/>
      <c r="N3341" s="20"/>
      <c r="P3341" s="21">
        <v>20545271</v>
      </c>
      <c r="Q3341" s="98">
        <v>44317</v>
      </c>
      <c r="R3341" s="3">
        <v>206700</v>
      </c>
      <c r="S3341" s="3">
        <v>264600</v>
      </c>
    </row>
    <row r="3342" spans="1:24" ht="15" hidden="1" x14ac:dyDescent="0.25">
      <c r="B3342" s="89">
        <v>44411.083333333336</v>
      </c>
      <c r="C3342" s="92" t="s">
        <v>3138</v>
      </c>
      <c r="D3342" s="23"/>
      <c r="E3342" s="91">
        <v>4133390</v>
      </c>
      <c r="F3342" s="93"/>
      <c r="G3342" s="93">
        <f t="shared" si="641"/>
        <v>4133390</v>
      </c>
      <c r="H3342" s="94"/>
      <c r="I3342" s="94"/>
      <c r="J3342" s="91">
        <v>35376.69</v>
      </c>
      <c r="K3342" s="25">
        <f t="shared" si="642"/>
        <v>4098013.31</v>
      </c>
      <c r="L3342" s="95">
        <f t="shared" si="643"/>
        <v>21906967</v>
      </c>
      <c r="M3342" s="20"/>
      <c r="N3342" s="20"/>
      <c r="P3342" s="21">
        <v>20683710</v>
      </c>
      <c r="Q3342" s="98">
        <v>44348</v>
      </c>
      <c r="R3342" s="3">
        <v>206700</v>
      </c>
      <c r="S3342" s="3">
        <v>264600</v>
      </c>
      <c r="W3342" s="31" t="e">
        <v>#N/A</v>
      </c>
      <c r="X3342" s="131" t="e">
        <f>+E3342-W3342</f>
        <v>#N/A</v>
      </c>
    </row>
    <row r="3343" spans="1:24" ht="15" hidden="1" x14ac:dyDescent="0.25">
      <c r="B3343" s="89">
        <v>44442.083333333336</v>
      </c>
      <c r="C3343" s="92" t="s">
        <v>3139</v>
      </c>
      <c r="D3343" s="23"/>
      <c r="E3343" s="91">
        <v>4133390</v>
      </c>
      <c r="F3343" s="93"/>
      <c r="G3343" s="93">
        <f t="shared" si="641"/>
        <v>4133390</v>
      </c>
      <c r="H3343" s="94"/>
      <c r="I3343" s="94"/>
      <c r="J3343" s="91">
        <v>35376.69</v>
      </c>
      <c r="K3343" s="25">
        <f t="shared" si="642"/>
        <v>4098013.31</v>
      </c>
      <c r="L3343" s="95">
        <f>+L3342-G3343</f>
        <v>17773577</v>
      </c>
      <c r="M3343" s="20"/>
      <c r="N3343" s="20"/>
      <c r="P3343" s="21">
        <v>20921113</v>
      </c>
      <c r="Q3343" s="98">
        <v>44378</v>
      </c>
      <c r="R3343" s="3">
        <v>206700</v>
      </c>
      <c r="S3343" s="3">
        <v>264600</v>
      </c>
      <c r="W3343" s="31"/>
      <c r="X3343" s="131"/>
    </row>
    <row r="3344" spans="1:24" ht="15" hidden="1" x14ac:dyDescent="0.25">
      <c r="B3344" s="89">
        <v>44508.125</v>
      </c>
      <c r="C3344" s="92" t="s">
        <v>3140</v>
      </c>
      <c r="D3344" s="23"/>
      <c r="E3344" s="91">
        <v>4133390</v>
      </c>
      <c r="F3344" s="93"/>
      <c r="G3344" s="93">
        <f t="shared" si="641"/>
        <v>4133390</v>
      </c>
      <c r="H3344" s="94"/>
      <c r="I3344" s="94"/>
      <c r="J3344" s="91">
        <v>35376.69</v>
      </c>
      <c r="K3344" s="25">
        <f t="shared" si="642"/>
        <v>4098013.31</v>
      </c>
      <c r="L3344" s="95">
        <f>+L3343-G3344</f>
        <v>13640187</v>
      </c>
      <c r="M3344" s="20"/>
      <c r="N3344" s="20"/>
      <c r="P3344" s="21">
        <v>21239398</v>
      </c>
      <c r="Q3344" s="98">
        <v>44409</v>
      </c>
      <c r="R3344" s="3">
        <v>206700</v>
      </c>
      <c r="S3344" s="3">
        <v>264600</v>
      </c>
      <c r="W3344" s="31"/>
      <c r="X3344" s="131"/>
    </row>
    <row r="3345" spans="1:24" ht="15" hidden="1" x14ac:dyDescent="0.25">
      <c r="B3345" s="89">
        <v>44533.125</v>
      </c>
      <c r="C3345" s="92" t="s">
        <v>3141</v>
      </c>
      <c r="D3345" s="23"/>
      <c r="E3345" s="91">
        <v>4133390</v>
      </c>
      <c r="F3345" s="93"/>
      <c r="G3345" s="93">
        <f t="shared" si="641"/>
        <v>4133390</v>
      </c>
      <c r="H3345" s="94"/>
      <c r="I3345" s="94"/>
      <c r="J3345" s="91">
        <v>35376.69</v>
      </c>
      <c r="K3345" s="25">
        <f t="shared" si="642"/>
        <v>4098013.31</v>
      </c>
      <c r="L3345" s="95">
        <f>+L3344-G3345</f>
        <v>9506797</v>
      </c>
      <c r="M3345" s="20"/>
      <c r="N3345" s="20"/>
      <c r="P3345" s="21">
        <v>21466803</v>
      </c>
      <c r="Q3345" s="98">
        <v>44440</v>
      </c>
      <c r="R3345" s="3">
        <v>206700</v>
      </c>
      <c r="S3345" s="3">
        <v>264600</v>
      </c>
      <c r="W3345" s="31"/>
      <c r="X3345" s="131"/>
    </row>
    <row r="3346" spans="1:24" ht="15" hidden="1" x14ac:dyDescent="0.25">
      <c r="B3346" s="89">
        <v>44536.125</v>
      </c>
      <c r="C3346" s="92" t="s">
        <v>3142</v>
      </c>
      <c r="D3346" s="23"/>
      <c r="E3346" s="91">
        <v>4133390</v>
      </c>
      <c r="F3346" s="93"/>
      <c r="G3346" s="93">
        <f t="shared" si="641"/>
        <v>4133390</v>
      </c>
      <c r="H3346" s="94"/>
      <c r="I3346" s="94"/>
      <c r="J3346" s="91">
        <v>35376.69</v>
      </c>
      <c r="K3346" s="25">
        <f t="shared" si="642"/>
        <v>4098013.31</v>
      </c>
      <c r="L3346" s="95">
        <f>+L3345-G3346</f>
        <v>5373407</v>
      </c>
      <c r="M3346" s="20"/>
      <c r="N3346" s="20"/>
      <c r="P3346" s="21">
        <v>21926437</v>
      </c>
      <c r="Q3346" s="98">
        <v>44470</v>
      </c>
      <c r="R3346" s="3">
        <v>206700</v>
      </c>
      <c r="S3346" s="3">
        <v>264600</v>
      </c>
      <c r="W3346" s="31"/>
      <c r="X3346" s="131"/>
    </row>
    <row r="3347" spans="1:24" ht="15" hidden="1" x14ac:dyDescent="0.25">
      <c r="B3347" s="89">
        <v>44559.125</v>
      </c>
      <c r="C3347" s="92" t="s">
        <v>3143</v>
      </c>
      <c r="D3347" s="23"/>
      <c r="E3347" s="91">
        <v>4133390</v>
      </c>
      <c r="F3347" s="93"/>
      <c r="G3347" s="93">
        <f t="shared" si="641"/>
        <v>4133390</v>
      </c>
      <c r="H3347" s="94"/>
      <c r="I3347" s="94"/>
      <c r="J3347" s="91">
        <v>35376.69</v>
      </c>
      <c r="K3347" s="25">
        <f t="shared" si="642"/>
        <v>4098013.31</v>
      </c>
      <c r="L3347" s="95">
        <f>+L3346-G3347</f>
        <v>1240017</v>
      </c>
      <c r="M3347" s="20"/>
      <c r="N3347" s="20"/>
      <c r="P3347" s="21">
        <v>21935515</v>
      </c>
      <c r="Q3347" s="98">
        <v>44501</v>
      </c>
      <c r="R3347" s="3">
        <v>206700</v>
      </c>
      <c r="S3347" s="3">
        <v>264600</v>
      </c>
      <c r="W3347" s="31"/>
      <c r="X3347" s="131"/>
    </row>
    <row r="3348" spans="1:24" ht="15" hidden="1" x14ac:dyDescent="0.25">
      <c r="B3348" s="89"/>
      <c r="C3348" s="92"/>
      <c r="D3348" s="23"/>
      <c r="E3348" s="91"/>
      <c r="F3348" s="93"/>
      <c r="G3348" s="93"/>
      <c r="H3348" s="94"/>
      <c r="I3348" s="94"/>
      <c r="J3348" s="91"/>
      <c r="K3348" s="25"/>
      <c r="L3348" s="95"/>
      <c r="M3348" s="20"/>
      <c r="N3348" s="20"/>
      <c r="P3348" s="21">
        <v>22078838</v>
      </c>
      <c r="Q3348" s="98">
        <v>44531</v>
      </c>
      <c r="R3348" s="3">
        <v>206700</v>
      </c>
      <c r="S3348" s="3">
        <v>264600</v>
      </c>
      <c r="W3348" s="31"/>
      <c r="X3348" s="131"/>
    </row>
    <row r="3349" spans="1:24" ht="15" hidden="1" x14ac:dyDescent="0.25">
      <c r="B3349" s="89"/>
      <c r="C3349" s="92"/>
      <c r="D3349" s="23"/>
      <c r="E3349" s="91"/>
      <c r="F3349" s="93"/>
      <c r="G3349" s="93"/>
      <c r="H3349" s="94"/>
      <c r="I3349" s="94"/>
      <c r="J3349" s="91"/>
      <c r="K3349" s="25"/>
      <c r="L3349" s="95"/>
      <c r="M3349" s="20"/>
      <c r="N3349" s="20"/>
      <c r="Q3349" s="98"/>
      <c r="R3349" s="99">
        <f>SUM(R3338:R3348)</f>
        <v>2273700</v>
      </c>
      <c r="S3349" s="185">
        <f>SUM(S3338:S3348)</f>
        <v>2910600</v>
      </c>
      <c r="W3349" s="31"/>
      <c r="X3349" s="131"/>
    </row>
    <row r="3350" spans="1:24" ht="15" hidden="1" x14ac:dyDescent="0.25">
      <c r="A3350" s="21">
        <v>2372021</v>
      </c>
      <c r="B3350" s="139" t="s">
        <v>3144</v>
      </c>
      <c r="C3350" s="140"/>
      <c r="D3350" s="141">
        <v>40660000</v>
      </c>
      <c r="E3350" s="141">
        <f>+D3350</f>
        <v>40660000</v>
      </c>
      <c r="F3350" s="141"/>
      <c r="G3350" s="141"/>
      <c r="H3350" s="141"/>
      <c r="I3350" s="141"/>
      <c r="J3350" s="141"/>
      <c r="K3350" s="141"/>
      <c r="L3350" s="141">
        <f>+D3350</f>
        <v>40660000</v>
      </c>
      <c r="M3350" s="142"/>
      <c r="N3350" s="142"/>
      <c r="O3350" s="149">
        <f>+VLOOKUP(A3350,'[1]ANEXO 7 - PPTO VIG 2021'!$H$8:$AB$160,21,)-L3361</f>
        <v>0</v>
      </c>
    </row>
    <row r="3351" spans="1:24" ht="15" hidden="1" x14ac:dyDescent="0.25">
      <c r="B3351" s="89">
        <v>44267.125</v>
      </c>
      <c r="C3351" s="92" t="s">
        <v>3145</v>
      </c>
      <c r="D3351" s="23"/>
      <c r="E3351" s="91">
        <v>2660000</v>
      </c>
      <c r="F3351" s="93"/>
      <c r="G3351" s="93">
        <f t="shared" ref="G3351:G3361" si="644">+E3351</f>
        <v>2660000</v>
      </c>
      <c r="H3351" s="94"/>
      <c r="I3351" s="94"/>
      <c r="J3351" s="91">
        <v>23193.66</v>
      </c>
      <c r="K3351" s="25">
        <f t="shared" ref="K3351:K3361" si="645">+G3351-H3351-I3351-J3351</f>
        <v>2636806.34</v>
      </c>
      <c r="L3351" s="95">
        <f t="shared" ref="L3351:L3356" si="646">+L3350-G3351</f>
        <v>38000000</v>
      </c>
      <c r="M3351" s="96"/>
      <c r="N3351" s="96"/>
      <c r="P3351" s="21">
        <v>9415231739</v>
      </c>
      <c r="Q3351" s="127">
        <v>44197</v>
      </c>
      <c r="R3351" s="3">
        <v>113600</v>
      </c>
      <c r="S3351" s="3">
        <v>145400</v>
      </c>
      <c r="T3351" s="3">
        <f>+L3350</f>
        <v>40660000</v>
      </c>
      <c r="U3351" s="3">
        <f>+T3351*40%</f>
        <v>16264000</v>
      </c>
    </row>
    <row r="3352" spans="1:24" ht="15" hidden="1" x14ac:dyDescent="0.25">
      <c r="B3352" s="89">
        <v>44300.083333333336</v>
      </c>
      <c r="C3352" s="92" t="s">
        <v>3146</v>
      </c>
      <c r="D3352" s="23"/>
      <c r="E3352" s="91">
        <v>3800000</v>
      </c>
      <c r="F3352" s="93"/>
      <c r="G3352" s="93">
        <f t="shared" si="644"/>
        <v>3800000</v>
      </c>
      <c r="H3352" s="94"/>
      <c r="I3352" s="94"/>
      <c r="J3352" s="91">
        <v>32523.29</v>
      </c>
      <c r="K3352" s="25">
        <f t="shared" si="645"/>
        <v>3767476.71</v>
      </c>
      <c r="L3352" s="95">
        <f t="shared" si="646"/>
        <v>34200000</v>
      </c>
      <c r="M3352" s="96"/>
      <c r="N3352" s="96"/>
      <c r="P3352" s="55">
        <v>9417626944</v>
      </c>
      <c r="Q3352" s="127">
        <v>44228</v>
      </c>
      <c r="R3352" s="14">
        <v>190000</v>
      </c>
      <c r="S3352" s="14">
        <v>243200</v>
      </c>
      <c r="U3352" s="3"/>
    </row>
    <row r="3353" spans="1:24" ht="15" hidden="1" x14ac:dyDescent="0.25">
      <c r="B3353" s="89">
        <v>44322.083333333336</v>
      </c>
      <c r="C3353" s="92" t="s">
        <v>3147</v>
      </c>
      <c r="D3353" s="23"/>
      <c r="E3353" s="91">
        <v>3800000</v>
      </c>
      <c r="F3353" s="93"/>
      <c r="G3353" s="93">
        <f t="shared" si="644"/>
        <v>3800000</v>
      </c>
      <c r="H3353" s="94"/>
      <c r="I3353" s="94"/>
      <c r="J3353" s="91">
        <v>32523.29</v>
      </c>
      <c r="K3353" s="25">
        <f t="shared" si="645"/>
        <v>3767476.71</v>
      </c>
      <c r="L3353" s="95">
        <f t="shared" si="646"/>
        <v>30400000</v>
      </c>
      <c r="M3353" s="20">
        <v>3800000</v>
      </c>
      <c r="N3353" s="20">
        <f>+G3353-M3353</f>
        <v>0</v>
      </c>
      <c r="P3353" s="55">
        <v>9418271016</v>
      </c>
      <c r="Q3353" s="127">
        <v>44256</v>
      </c>
      <c r="R3353" s="14">
        <v>190000</v>
      </c>
      <c r="S3353" s="14">
        <v>243200</v>
      </c>
      <c r="U3353" s="3">
        <f>+U3351*12.5%</f>
        <v>2033000</v>
      </c>
      <c r="V3353" s="172" t="s">
        <v>2769</v>
      </c>
    </row>
    <row r="3354" spans="1:24" ht="15" hidden="1" x14ac:dyDescent="0.25">
      <c r="B3354" s="89">
        <v>44365.083333333336</v>
      </c>
      <c r="C3354" s="92" t="s">
        <v>3148</v>
      </c>
      <c r="D3354" s="23"/>
      <c r="E3354" s="91">
        <v>3800000</v>
      </c>
      <c r="F3354" s="93"/>
      <c r="G3354" s="93">
        <f t="shared" si="644"/>
        <v>3800000</v>
      </c>
      <c r="H3354" s="94"/>
      <c r="I3354" s="94"/>
      <c r="J3354" s="91">
        <v>32523.29</v>
      </c>
      <c r="K3354" s="25">
        <f t="shared" si="645"/>
        <v>3767476.71</v>
      </c>
      <c r="L3354" s="95">
        <f t="shared" si="646"/>
        <v>26600000</v>
      </c>
      <c r="M3354" s="20"/>
      <c r="N3354" s="20"/>
      <c r="P3354" s="55">
        <v>9419466252</v>
      </c>
      <c r="Q3354" s="127">
        <v>44287</v>
      </c>
      <c r="R3354" s="14">
        <v>190000</v>
      </c>
      <c r="S3354" s="14">
        <v>243200</v>
      </c>
      <c r="U3354" s="3">
        <f>+U3351*16%</f>
        <v>2602240</v>
      </c>
      <c r="V3354" s="173" t="s">
        <v>2771</v>
      </c>
    </row>
    <row r="3355" spans="1:24" ht="15" hidden="1" x14ac:dyDescent="0.25">
      <c r="B3355" s="89">
        <v>44403.083333333336</v>
      </c>
      <c r="C3355" s="92" t="s">
        <v>3149</v>
      </c>
      <c r="D3355" s="23"/>
      <c r="E3355" s="91">
        <v>3800000</v>
      </c>
      <c r="F3355" s="93"/>
      <c r="G3355" s="93">
        <f t="shared" si="644"/>
        <v>3800000</v>
      </c>
      <c r="H3355" s="94"/>
      <c r="I3355" s="94"/>
      <c r="J3355" s="91">
        <v>32523.29</v>
      </c>
      <c r="K3355" s="25">
        <f t="shared" si="645"/>
        <v>3767476.71</v>
      </c>
      <c r="L3355" s="95">
        <f t="shared" si="646"/>
        <v>22800000</v>
      </c>
      <c r="M3355" s="20"/>
      <c r="N3355" s="20"/>
      <c r="P3355" s="55">
        <v>9420674712</v>
      </c>
      <c r="Q3355" s="127">
        <v>44317</v>
      </c>
      <c r="R3355" s="14">
        <v>190000</v>
      </c>
      <c r="S3355" s="14">
        <v>243200</v>
      </c>
    </row>
    <row r="3356" spans="1:24" ht="15" hidden="1" x14ac:dyDescent="0.25">
      <c r="B3356" s="89">
        <v>44419.083333333336</v>
      </c>
      <c r="C3356" s="92" t="s">
        <v>3150</v>
      </c>
      <c r="D3356" s="23"/>
      <c r="E3356" s="91">
        <v>3800000</v>
      </c>
      <c r="F3356" s="93"/>
      <c r="G3356" s="93">
        <f t="shared" si="644"/>
        <v>3800000</v>
      </c>
      <c r="H3356" s="94"/>
      <c r="I3356" s="94"/>
      <c r="J3356" s="91">
        <v>32523.29</v>
      </c>
      <c r="K3356" s="25">
        <f t="shared" si="645"/>
        <v>3767476.71</v>
      </c>
      <c r="L3356" s="95">
        <f t="shared" si="646"/>
        <v>19000000</v>
      </c>
      <c r="M3356" s="20"/>
      <c r="N3356" s="20"/>
      <c r="P3356" s="55">
        <v>9421912055</v>
      </c>
      <c r="Q3356" s="127">
        <v>44348</v>
      </c>
      <c r="R3356" s="14">
        <v>190000</v>
      </c>
      <c r="S3356" s="14">
        <v>243200</v>
      </c>
      <c r="W3356" s="31">
        <v>3800000</v>
      </c>
      <c r="X3356" s="131">
        <f>+E3356-W3356</f>
        <v>0</v>
      </c>
    </row>
    <row r="3357" spans="1:24" ht="15" hidden="1" x14ac:dyDescent="0.25">
      <c r="B3357" s="89">
        <v>44456.083333333336</v>
      </c>
      <c r="C3357" s="92" t="s">
        <v>3151</v>
      </c>
      <c r="D3357" s="23"/>
      <c r="E3357" s="91">
        <v>3800000</v>
      </c>
      <c r="F3357" s="93"/>
      <c r="G3357" s="93">
        <f t="shared" si="644"/>
        <v>3800000</v>
      </c>
      <c r="H3357" s="94"/>
      <c r="I3357" s="94"/>
      <c r="J3357" s="91">
        <v>32523.29</v>
      </c>
      <c r="K3357" s="25">
        <f t="shared" si="645"/>
        <v>3767476.71</v>
      </c>
      <c r="L3357" s="95">
        <f>+L3356-G3357</f>
        <v>15200000</v>
      </c>
      <c r="M3357" s="20"/>
      <c r="N3357" s="20"/>
      <c r="P3357" s="84">
        <v>9423006272</v>
      </c>
      <c r="Q3357" s="127">
        <v>44378</v>
      </c>
      <c r="R3357" s="14">
        <v>190000</v>
      </c>
      <c r="S3357" s="14">
        <v>243200</v>
      </c>
      <c r="W3357" s="31"/>
      <c r="X3357" s="131"/>
    </row>
    <row r="3358" spans="1:24" ht="15" hidden="1" x14ac:dyDescent="0.25">
      <c r="B3358" s="89">
        <v>44489.083333333336</v>
      </c>
      <c r="C3358" s="92" t="s">
        <v>3152</v>
      </c>
      <c r="D3358" s="23"/>
      <c r="E3358" s="91">
        <v>3800000</v>
      </c>
      <c r="F3358" s="93"/>
      <c r="G3358" s="93">
        <f t="shared" si="644"/>
        <v>3800000</v>
      </c>
      <c r="H3358" s="94"/>
      <c r="I3358" s="94"/>
      <c r="J3358" s="91">
        <v>32523.29</v>
      </c>
      <c r="K3358" s="25">
        <f t="shared" si="645"/>
        <v>3767476.71</v>
      </c>
      <c r="L3358" s="95">
        <f>+L3357-G3358</f>
        <v>11400000</v>
      </c>
      <c r="M3358" s="20"/>
      <c r="N3358" s="20"/>
      <c r="P3358" s="84">
        <v>9424254296</v>
      </c>
      <c r="Q3358" s="127">
        <v>44409</v>
      </c>
      <c r="R3358" s="14">
        <v>190000</v>
      </c>
      <c r="S3358" s="14">
        <v>243200</v>
      </c>
      <c r="W3358" s="31"/>
      <c r="X3358" s="131"/>
    </row>
    <row r="3359" spans="1:24" ht="15" hidden="1" x14ac:dyDescent="0.25">
      <c r="B3359" s="89">
        <v>44512.125</v>
      </c>
      <c r="C3359" s="92" t="s">
        <v>3153</v>
      </c>
      <c r="D3359" s="23"/>
      <c r="E3359" s="91">
        <v>3800000</v>
      </c>
      <c r="F3359" s="93"/>
      <c r="G3359" s="93">
        <f t="shared" si="644"/>
        <v>3800000</v>
      </c>
      <c r="H3359" s="94"/>
      <c r="I3359" s="94"/>
      <c r="J3359" s="91">
        <v>32523.29</v>
      </c>
      <c r="K3359" s="25">
        <f t="shared" si="645"/>
        <v>3767476.71</v>
      </c>
      <c r="L3359" s="95">
        <f>+L3358-G3359</f>
        <v>7600000</v>
      </c>
      <c r="M3359" s="20"/>
      <c r="N3359" s="20"/>
      <c r="P3359" s="84">
        <v>9425467042</v>
      </c>
      <c r="Q3359" s="127">
        <v>44440</v>
      </c>
      <c r="R3359" s="14">
        <v>190000</v>
      </c>
      <c r="S3359" s="14">
        <v>243200</v>
      </c>
      <c r="W3359" s="31"/>
      <c r="X3359" s="131"/>
    </row>
    <row r="3360" spans="1:24" ht="15" hidden="1" x14ac:dyDescent="0.25">
      <c r="B3360" s="89">
        <v>44539.125</v>
      </c>
      <c r="C3360" s="92" t="s">
        <v>3154</v>
      </c>
      <c r="D3360" s="23"/>
      <c r="E3360" s="91">
        <v>3800000</v>
      </c>
      <c r="F3360" s="93"/>
      <c r="G3360" s="93">
        <f t="shared" si="644"/>
        <v>3800000</v>
      </c>
      <c r="H3360" s="94"/>
      <c r="I3360" s="94"/>
      <c r="J3360" s="91">
        <v>32523.29</v>
      </c>
      <c r="K3360" s="25">
        <f t="shared" si="645"/>
        <v>3767476.71</v>
      </c>
      <c r="L3360" s="95">
        <f>+L3359-G3360</f>
        <v>3800000</v>
      </c>
      <c r="M3360" s="20"/>
      <c r="N3360" s="20"/>
      <c r="P3360" s="84">
        <v>9426627227</v>
      </c>
      <c r="Q3360" s="174">
        <v>44470</v>
      </c>
      <c r="R3360" s="14">
        <v>190000</v>
      </c>
      <c r="S3360" s="14">
        <v>243200</v>
      </c>
      <c r="W3360" s="31"/>
      <c r="X3360" s="131"/>
    </row>
    <row r="3361" spans="1:24" ht="15" hidden="1" x14ac:dyDescent="0.25">
      <c r="B3361" s="89">
        <v>44559.125</v>
      </c>
      <c r="C3361" s="92" t="s">
        <v>3155</v>
      </c>
      <c r="D3361" s="23"/>
      <c r="E3361" s="91">
        <v>3800000</v>
      </c>
      <c r="F3361" s="93"/>
      <c r="G3361" s="93">
        <f t="shared" si="644"/>
        <v>3800000</v>
      </c>
      <c r="H3361" s="94"/>
      <c r="I3361" s="94"/>
      <c r="J3361" s="91">
        <v>32523.29</v>
      </c>
      <c r="K3361" s="25">
        <f t="shared" si="645"/>
        <v>3767476.71</v>
      </c>
      <c r="L3361" s="95">
        <f>+L3360-G3361</f>
        <v>0</v>
      </c>
      <c r="M3361" s="20"/>
      <c r="N3361" s="20"/>
      <c r="P3361" s="84">
        <v>9427999725</v>
      </c>
      <c r="Q3361" s="174">
        <v>44501</v>
      </c>
      <c r="R3361" s="14">
        <v>190000</v>
      </c>
      <c r="S3361" s="14">
        <v>243200</v>
      </c>
      <c r="W3361" s="31"/>
      <c r="X3361" s="131"/>
    </row>
    <row r="3362" spans="1:24" ht="15" hidden="1" x14ac:dyDescent="0.25">
      <c r="B3362" s="89"/>
      <c r="C3362" s="92"/>
      <c r="D3362" s="23"/>
      <c r="E3362" s="91"/>
      <c r="F3362" s="93"/>
      <c r="G3362" s="93"/>
      <c r="H3362" s="94"/>
      <c r="I3362" s="94"/>
      <c r="J3362" s="91"/>
      <c r="K3362" s="25"/>
      <c r="L3362" s="95"/>
      <c r="M3362" s="20"/>
      <c r="N3362" s="20"/>
      <c r="P3362" s="84">
        <v>9428224644</v>
      </c>
      <c r="Q3362" s="174">
        <v>44531</v>
      </c>
      <c r="R3362" s="14">
        <v>190000</v>
      </c>
      <c r="S3362" s="14">
        <v>243200</v>
      </c>
      <c r="W3362" s="31"/>
      <c r="X3362" s="131"/>
    </row>
    <row r="3363" spans="1:24" ht="15" hidden="1" x14ac:dyDescent="0.25">
      <c r="B3363" s="89"/>
      <c r="C3363" s="92"/>
      <c r="D3363" s="23"/>
      <c r="E3363" s="91"/>
      <c r="F3363" s="93"/>
      <c r="G3363" s="93"/>
      <c r="H3363" s="94"/>
      <c r="I3363" s="94"/>
      <c r="J3363" s="91"/>
      <c r="K3363" s="25"/>
      <c r="L3363" s="95"/>
      <c r="M3363" s="20"/>
      <c r="N3363" s="20"/>
      <c r="P3363" s="84"/>
      <c r="Q3363" s="174"/>
      <c r="R3363" s="99">
        <f>SUM(R3351:R3362)</f>
        <v>2203600</v>
      </c>
      <c r="S3363" s="185">
        <f>SUM(S3351:S3362)</f>
        <v>2820600</v>
      </c>
      <c r="W3363" s="31"/>
      <c r="X3363" s="131"/>
    </row>
    <row r="3364" spans="1:24" ht="15" hidden="1" x14ac:dyDescent="0.25">
      <c r="A3364" s="21">
        <v>2362021</v>
      </c>
      <c r="B3364" s="139" t="s">
        <v>3156</v>
      </c>
      <c r="C3364" s="140"/>
      <c r="D3364" s="141">
        <v>90950000</v>
      </c>
      <c r="E3364" s="141">
        <f>+D3364</f>
        <v>90950000</v>
      </c>
      <c r="F3364" s="141"/>
      <c r="G3364" s="141"/>
      <c r="H3364" s="141"/>
      <c r="I3364" s="141"/>
      <c r="J3364" s="141"/>
      <c r="K3364" s="141"/>
      <c r="L3364" s="141">
        <f>+D3364</f>
        <v>90950000</v>
      </c>
      <c r="M3364" s="142"/>
      <c r="N3364" s="142"/>
      <c r="O3364" s="149">
        <f>+VLOOKUP(A3364,'[1]ANEXO 7 - PPTO VIG 2021'!$H$8:$AB$160,21,)-L3375</f>
        <v>-283333</v>
      </c>
    </row>
    <row r="3365" spans="1:24" ht="15" hidden="1" x14ac:dyDescent="0.25">
      <c r="B3365" s="89">
        <v>44272.083333333336</v>
      </c>
      <c r="C3365" s="92" t="s">
        <v>3157</v>
      </c>
      <c r="D3365" s="23"/>
      <c r="E3365" s="91">
        <v>5666667</v>
      </c>
      <c r="F3365" s="93"/>
      <c r="G3365" s="93">
        <f t="shared" ref="G3365:G3375" si="647">+E3365</f>
        <v>5666667</v>
      </c>
      <c r="H3365" s="94"/>
      <c r="I3365" s="94"/>
      <c r="J3365" s="91">
        <v>48499.64</v>
      </c>
      <c r="K3365" s="25">
        <f t="shared" ref="K3365:K3375" si="648">+G3365-H3365-I3365-J3365</f>
        <v>5618167.3600000003</v>
      </c>
      <c r="L3365" s="95">
        <f t="shared" ref="L3365:L3370" si="649">+L3364-G3365</f>
        <v>85283333</v>
      </c>
      <c r="M3365" s="96"/>
      <c r="N3365" s="96"/>
      <c r="P3365" s="21">
        <v>7776808083</v>
      </c>
      <c r="Q3365" s="127">
        <v>44228</v>
      </c>
      <c r="R3365" s="14">
        <v>425000</v>
      </c>
      <c r="S3365" s="14">
        <v>544000</v>
      </c>
      <c r="T3365" s="3">
        <f>+L3364-283333</f>
        <v>90666667</v>
      </c>
      <c r="U3365" s="3">
        <f>+T3365*40%</f>
        <v>36266666.800000004</v>
      </c>
    </row>
    <row r="3366" spans="1:24" ht="15" hidden="1" x14ac:dyDescent="0.25">
      <c r="B3366" s="89">
        <v>44295.083333333336</v>
      </c>
      <c r="C3366" s="92" t="s">
        <v>3158</v>
      </c>
      <c r="D3366" s="23"/>
      <c r="E3366" s="91">
        <v>8500000</v>
      </c>
      <c r="F3366" s="93"/>
      <c r="G3366" s="93">
        <f t="shared" si="647"/>
        <v>8500000</v>
      </c>
      <c r="H3366" s="94"/>
      <c r="I3366" s="91">
        <v>294146.61</v>
      </c>
      <c r="J3366" s="91">
        <v>72749.460000000006</v>
      </c>
      <c r="K3366" s="25">
        <f t="shared" si="648"/>
        <v>8133103.9299999997</v>
      </c>
      <c r="L3366" s="95">
        <f t="shared" si="649"/>
        <v>76783333</v>
      </c>
      <c r="M3366" s="96"/>
      <c r="N3366" s="96"/>
      <c r="P3366" s="55">
        <v>7782831118</v>
      </c>
      <c r="Q3366" s="127">
        <v>44256</v>
      </c>
      <c r="R3366" s="14">
        <v>425000</v>
      </c>
      <c r="S3366" s="14">
        <v>544000</v>
      </c>
      <c r="U3366" s="3"/>
    </row>
    <row r="3367" spans="1:24" ht="15" hidden="1" x14ac:dyDescent="0.25">
      <c r="B3367" s="89">
        <v>44323.083333333336</v>
      </c>
      <c r="C3367" s="92" t="s">
        <v>3159</v>
      </c>
      <c r="D3367" s="23"/>
      <c r="E3367" s="91">
        <v>8500000</v>
      </c>
      <c r="F3367" s="93"/>
      <c r="G3367" s="93">
        <f t="shared" si="647"/>
        <v>8500000</v>
      </c>
      <c r="H3367" s="94"/>
      <c r="I3367" s="94">
        <v>294146.61</v>
      </c>
      <c r="J3367" s="91">
        <v>72749.460000000006</v>
      </c>
      <c r="K3367" s="25">
        <f t="shared" si="648"/>
        <v>8133103.9299999997</v>
      </c>
      <c r="L3367" s="95">
        <f t="shared" si="649"/>
        <v>68283333</v>
      </c>
      <c r="M3367" s="20">
        <v>8500000</v>
      </c>
      <c r="N3367" s="20">
        <f>+G3367-M3367</f>
        <v>0</v>
      </c>
      <c r="P3367" s="55">
        <v>7787605949</v>
      </c>
      <c r="Q3367" s="127">
        <v>44287</v>
      </c>
      <c r="R3367" s="14">
        <v>426000</v>
      </c>
      <c r="S3367" s="14">
        <v>544000</v>
      </c>
      <c r="U3367" s="3">
        <f>+U3365*12.5%</f>
        <v>4533333.3500000006</v>
      </c>
      <c r="V3367" s="172" t="s">
        <v>2769</v>
      </c>
    </row>
    <row r="3368" spans="1:24" ht="15" hidden="1" x14ac:dyDescent="0.25">
      <c r="B3368" s="89">
        <v>44362.083333333336</v>
      </c>
      <c r="C3368" s="92" t="s">
        <v>3160</v>
      </c>
      <c r="D3368" s="23"/>
      <c r="E3368" s="91">
        <v>8500000</v>
      </c>
      <c r="F3368" s="93"/>
      <c r="G3368" s="93">
        <f t="shared" si="647"/>
        <v>8500000</v>
      </c>
      <c r="H3368" s="94"/>
      <c r="I3368" s="94">
        <v>294146.61</v>
      </c>
      <c r="J3368" s="91">
        <v>72749.460000000006</v>
      </c>
      <c r="K3368" s="25">
        <f t="shared" si="648"/>
        <v>8133103.9299999997</v>
      </c>
      <c r="L3368" s="95">
        <f t="shared" si="649"/>
        <v>59783333</v>
      </c>
      <c r="M3368" s="20"/>
      <c r="N3368" s="20"/>
      <c r="P3368" s="55">
        <v>7791510065</v>
      </c>
      <c r="Q3368" s="127">
        <v>44317</v>
      </c>
      <c r="R3368" s="14">
        <v>425000</v>
      </c>
      <c r="S3368" s="14">
        <v>544000</v>
      </c>
      <c r="U3368" s="3">
        <f>+U3365*16%</f>
        <v>5802666.688000001</v>
      </c>
      <c r="V3368" s="173" t="s">
        <v>2771</v>
      </c>
    </row>
    <row r="3369" spans="1:24" ht="15" hidden="1" x14ac:dyDescent="0.25">
      <c r="B3369" s="89">
        <v>44385.083333333336</v>
      </c>
      <c r="C3369" s="92" t="s">
        <v>3161</v>
      </c>
      <c r="D3369" s="23"/>
      <c r="E3369" s="91">
        <v>8500000</v>
      </c>
      <c r="F3369" s="93"/>
      <c r="G3369" s="93">
        <f t="shared" si="647"/>
        <v>8500000</v>
      </c>
      <c r="H3369" s="94"/>
      <c r="I3369" s="94">
        <v>294146.61</v>
      </c>
      <c r="J3369" s="91">
        <v>72749.460000000006</v>
      </c>
      <c r="K3369" s="25">
        <f t="shared" si="648"/>
        <v>8133103.9299999997</v>
      </c>
      <c r="L3369" s="95">
        <f t="shared" si="649"/>
        <v>51283333</v>
      </c>
      <c r="M3369" s="20"/>
      <c r="N3369" s="20"/>
      <c r="P3369" s="55">
        <v>7802239043</v>
      </c>
      <c r="Q3369" s="127">
        <v>44348</v>
      </c>
      <c r="R3369" s="14">
        <v>425000</v>
      </c>
      <c r="S3369" s="14">
        <v>544000</v>
      </c>
    </row>
    <row r="3370" spans="1:24" ht="15" hidden="1" x14ac:dyDescent="0.25">
      <c r="B3370" s="89">
        <v>44421.083333333336</v>
      </c>
      <c r="C3370" s="92" t="s">
        <v>3162</v>
      </c>
      <c r="D3370" s="23"/>
      <c r="E3370" s="91">
        <v>8500000</v>
      </c>
      <c r="F3370" s="93"/>
      <c r="G3370" s="93">
        <f t="shared" si="647"/>
        <v>8500000</v>
      </c>
      <c r="H3370" s="94"/>
      <c r="I3370" s="94">
        <v>294146.61</v>
      </c>
      <c r="J3370" s="91">
        <v>72749.460000000006</v>
      </c>
      <c r="K3370" s="25">
        <f t="shared" si="648"/>
        <v>8133103.9299999997</v>
      </c>
      <c r="L3370" s="95">
        <f t="shared" si="649"/>
        <v>42783333</v>
      </c>
      <c r="M3370" s="20"/>
      <c r="N3370" s="20"/>
      <c r="P3370" s="84">
        <v>7805842115</v>
      </c>
      <c r="Q3370" s="127">
        <v>44378</v>
      </c>
      <c r="R3370" s="14">
        <v>425000</v>
      </c>
      <c r="S3370" s="14">
        <v>544000</v>
      </c>
      <c r="W3370" s="31">
        <v>8500000</v>
      </c>
      <c r="X3370" s="131">
        <f>+E3370-W3370</f>
        <v>0</v>
      </c>
    </row>
    <row r="3371" spans="1:24" ht="15" hidden="1" x14ac:dyDescent="0.25">
      <c r="B3371" s="89">
        <v>44447.083333333336</v>
      </c>
      <c r="C3371" s="92" t="s">
        <v>3163</v>
      </c>
      <c r="D3371" s="23"/>
      <c r="E3371" s="91">
        <v>8500000</v>
      </c>
      <c r="F3371" s="93"/>
      <c r="G3371" s="93">
        <f t="shared" si="647"/>
        <v>8500000</v>
      </c>
      <c r="H3371" s="94"/>
      <c r="I3371" s="94">
        <v>294146.61</v>
      </c>
      <c r="J3371" s="91">
        <v>72749.460000000006</v>
      </c>
      <c r="K3371" s="25">
        <f t="shared" si="648"/>
        <v>8133103.9299999997</v>
      </c>
      <c r="L3371" s="95">
        <f>+L3370-G3371</f>
        <v>34283333</v>
      </c>
      <c r="M3371" s="20"/>
      <c r="N3371" s="20"/>
      <c r="P3371" s="84">
        <v>7808651116</v>
      </c>
      <c r="Q3371" s="127">
        <v>44409</v>
      </c>
      <c r="R3371" s="14">
        <v>425000</v>
      </c>
      <c r="S3371" s="14">
        <v>544000</v>
      </c>
      <c r="W3371" s="31"/>
      <c r="X3371" s="131"/>
    </row>
    <row r="3372" spans="1:24" ht="15" hidden="1" x14ac:dyDescent="0.25">
      <c r="B3372" s="89">
        <v>44483.083333333336</v>
      </c>
      <c r="C3372" s="92" t="s">
        <v>3164</v>
      </c>
      <c r="D3372" s="23"/>
      <c r="E3372" s="91">
        <v>8500000</v>
      </c>
      <c r="F3372" s="93"/>
      <c r="G3372" s="93">
        <f t="shared" si="647"/>
        <v>8500000</v>
      </c>
      <c r="H3372" s="94"/>
      <c r="I3372" s="94">
        <v>254301.45</v>
      </c>
      <c r="J3372" s="91">
        <v>72749.460000000006</v>
      </c>
      <c r="K3372" s="25">
        <f t="shared" si="648"/>
        <v>8172949.0899999999</v>
      </c>
      <c r="L3372" s="95">
        <f>+L3371-G3372</f>
        <v>25783333</v>
      </c>
      <c r="M3372" s="20"/>
      <c r="N3372" s="20"/>
      <c r="P3372" s="84">
        <v>7812842139</v>
      </c>
      <c r="Q3372" s="127">
        <v>44440</v>
      </c>
      <c r="R3372" s="14">
        <v>425000</v>
      </c>
      <c r="S3372" s="14">
        <v>544000</v>
      </c>
      <c r="W3372" s="31"/>
      <c r="X3372" s="131"/>
    </row>
    <row r="3373" spans="1:24" ht="15" hidden="1" x14ac:dyDescent="0.25">
      <c r="B3373" s="89">
        <v>44508.125</v>
      </c>
      <c r="C3373" s="92" t="s">
        <v>3165</v>
      </c>
      <c r="D3373" s="23"/>
      <c r="E3373" s="91">
        <v>8500000</v>
      </c>
      <c r="F3373" s="93"/>
      <c r="G3373" s="93">
        <f t="shared" si="647"/>
        <v>8500000</v>
      </c>
      <c r="H3373" s="94"/>
      <c r="I3373" s="94">
        <v>254301.45</v>
      </c>
      <c r="J3373" s="91">
        <v>72749.460000000006</v>
      </c>
      <c r="K3373" s="25">
        <f t="shared" si="648"/>
        <v>8172949.0899999999</v>
      </c>
      <c r="L3373" s="95">
        <f>+L3372-G3373</f>
        <v>17283333</v>
      </c>
      <c r="M3373" s="20"/>
      <c r="N3373" s="20"/>
      <c r="P3373" s="84">
        <v>7815130873</v>
      </c>
      <c r="Q3373" s="127">
        <v>44470</v>
      </c>
      <c r="R3373" s="14">
        <v>425000</v>
      </c>
      <c r="S3373" s="14">
        <v>544000</v>
      </c>
      <c r="W3373" s="31"/>
      <c r="X3373" s="131"/>
    </row>
    <row r="3374" spans="1:24" ht="15" hidden="1" x14ac:dyDescent="0.25">
      <c r="B3374" s="89">
        <v>44539.125</v>
      </c>
      <c r="C3374" s="92" t="s">
        <v>3166</v>
      </c>
      <c r="D3374" s="23"/>
      <c r="E3374" s="91">
        <v>8500000</v>
      </c>
      <c r="F3374" s="93"/>
      <c r="G3374" s="93">
        <f t="shared" si="647"/>
        <v>8500000</v>
      </c>
      <c r="H3374" s="94"/>
      <c r="I3374" s="94">
        <v>254301.45</v>
      </c>
      <c r="J3374" s="91">
        <v>72749.460000000006</v>
      </c>
      <c r="K3374" s="25">
        <f t="shared" si="648"/>
        <v>8172949.0899999999</v>
      </c>
      <c r="L3374" s="95">
        <f>+L3373-G3374</f>
        <v>8783333</v>
      </c>
      <c r="M3374" s="20"/>
      <c r="N3374" s="20"/>
      <c r="P3374" s="84">
        <v>7818872791</v>
      </c>
      <c r="Q3374" s="174">
        <v>44501</v>
      </c>
      <c r="R3374" s="14">
        <v>425000</v>
      </c>
      <c r="S3374" s="14">
        <v>544000</v>
      </c>
      <c r="W3374" s="31"/>
      <c r="X3374" s="131"/>
    </row>
    <row r="3375" spans="1:24" ht="15" hidden="1" x14ac:dyDescent="0.25">
      <c r="B3375" s="89">
        <v>44551.125</v>
      </c>
      <c r="C3375" s="92" t="s">
        <v>3167</v>
      </c>
      <c r="D3375" s="23"/>
      <c r="E3375" s="91">
        <v>8500000</v>
      </c>
      <c r="F3375" s="93"/>
      <c r="G3375" s="93">
        <f t="shared" si="647"/>
        <v>8500000</v>
      </c>
      <c r="H3375" s="94"/>
      <c r="I3375" s="94">
        <v>254301.45</v>
      </c>
      <c r="J3375" s="91">
        <v>72749.460000000006</v>
      </c>
      <c r="K3375" s="25">
        <f t="shared" si="648"/>
        <v>8172949.0899999999</v>
      </c>
      <c r="L3375" s="95">
        <f>+L3374-G3375</f>
        <v>283333</v>
      </c>
      <c r="M3375" s="20"/>
      <c r="N3375" s="20"/>
      <c r="P3375" s="84">
        <v>7820343532</v>
      </c>
      <c r="Q3375" s="174">
        <v>44531</v>
      </c>
      <c r="R3375" s="14">
        <v>425000</v>
      </c>
      <c r="S3375" s="14">
        <v>544000</v>
      </c>
      <c r="W3375" s="31"/>
      <c r="X3375" s="131"/>
    </row>
    <row r="3376" spans="1:24" ht="15" hidden="1" x14ac:dyDescent="0.25">
      <c r="B3376" s="89"/>
      <c r="C3376" s="92"/>
      <c r="D3376" s="23"/>
      <c r="E3376" s="91"/>
      <c r="F3376" s="93"/>
      <c r="G3376" s="93"/>
      <c r="H3376" s="94"/>
      <c r="I3376" s="94"/>
      <c r="J3376" s="91"/>
      <c r="K3376" s="25"/>
      <c r="L3376" s="95"/>
      <c r="M3376" s="20"/>
      <c r="N3376" s="20"/>
      <c r="P3376" s="84"/>
      <c r="Q3376" s="174"/>
      <c r="R3376" s="177">
        <f>SUM(R3365:R3375)</f>
        <v>4676000</v>
      </c>
      <c r="S3376" s="178">
        <f>SUM(S3365:S3375)</f>
        <v>5984000</v>
      </c>
      <c r="W3376" s="31"/>
      <c r="X3376" s="131"/>
    </row>
    <row r="3377" spans="1:24" ht="15" hidden="1" x14ac:dyDescent="0.25">
      <c r="A3377" s="21">
        <v>1922021</v>
      </c>
      <c r="B3377" s="139" t="s">
        <v>3168</v>
      </c>
      <c r="C3377" s="140"/>
      <c r="D3377" s="141">
        <v>79310000</v>
      </c>
      <c r="E3377" s="141">
        <f>+D3377</f>
        <v>79310000</v>
      </c>
      <c r="F3377" s="141"/>
      <c r="G3377" s="141"/>
      <c r="H3377" s="141"/>
      <c r="I3377" s="141"/>
      <c r="J3377" s="141"/>
      <c r="K3377" s="141"/>
      <c r="L3377" s="141">
        <f>+D3377</f>
        <v>79310000</v>
      </c>
      <c r="M3377" s="142"/>
      <c r="N3377" s="142"/>
      <c r="O3377" s="149">
        <f>+VLOOKUP(A3377,'[1]ANEXO 7 - PPTO VIG 2021'!$H$8:$AB$160,21,)-L3388</f>
        <v>-961333</v>
      </c>
    </row>
    <row r="3378" spans="1:24" ht="15" hidden="1" x14ac:dyDescent="0.25">
      <c r="B3378" s="89">
        <v>44272.083333333336</v>
      </c>
      <c r="C3378" s="92" t="s">
        <v>3169</v>
      </c>
      <c r="D3378" s="23"/>
      <c r="E3378" s="91">
        <v>6248667</v>
      </c>
      <c r="F3378" s="93"/>
      <c r="G3378" s="93">
        <f t="shared" ref="G3378:G3388" si="650">+E3378</f>
        <v>6248667</v>
      </c>
      <c r="H3378" s="94"/>
      <c r="I3378" s="94">
        <v>38082.300000000003</v>
      </c>
      <c r="J3378" s="91">
        <v>53480.84</v>
      </c>
      <c r="K3378" s="25">
        <f t="shared" ref="K3378:K3388" si="651">+G3378-H3378-I3378-J3378</f>
        <v>6157103.8600000003</v>
      </c>
      <c r="L3378" s="95">
        <f t="shared" ref="L3378:L3383" si="652">+L3377-G3378</f>
        <v>73061333</v>
      </c>
      <c r="M3378" s="96"/>
      <c r="N3378" s="96"/>
      <c r="P3378" s="21">
        <v>48783992</v>
      </c>
      <c r="Q3378" s="127">
        <v>44228</v>
      </c>
      <c r="R3378" s="14">
        <v>483600</v>
      </c>
      <c r="S3378" s="14">
        <v>657800</v>
      </c>
      <c r="T3378" s="3">
        <f>79310000-961333</f>
        <v>78348667</v>
      </c>
      <c r="U3378" s="3">
        <f>+T3378*40%</f>
        <v>31339466.800000001</v>
      </c>
    </row>
    <row r="3379" spans="1:24" ht="15" hidden="1" x14ac:dyDescent="0.25">
      <c r="B3379" s="89">
        <v>44300.083333333336</v>
      </c>
      <c r="C3379" s="92" t="s">
        <v>3170</v>
      </c>
      <c r="D3379" s="23"/>
      <c r="E3379" s="91">
        <v>7210000</v>
      </c>
      <c r="F3379" s="93"/>
      <c r="G3379" s="93">
        <f t="shared" si="650"/>
        <v>7210000</v>
      </c>
      <c r="H3379" s="94"/>
      <c r="I3379" s="91">
        <v>145208.44</v>
      </c>
      <c r="J3379" s="91">
        <v>61708.66</v>
      </c>
      <c r="K3379" s="25">
        <f t="shared" si="651"/>
        <v>7003082.8999999994</v>
      </c>
      <c r="L3379" s="95">
        <f t="shared" si="652"/>
        <v>65851333</v>
      </c>
      <c r="M3379" s="96"/>
      <c r="N3379" s="96"/>
      <c r="P3379" s="55">
        <v>49502284</v>
      </c>
      <c r="Q3379" s="127">
        <v>44256</v>
      </c>
      <c r="R3379" s="14">
        <v>483600</v>
      </c>
      <c r="S3379" s="14">
        <v>657800</v>
      </c>
      <c r="U3379" s="3"/>
    </row>
    <row r="3380" spans="1:24" ht="15" hidden="1" x14ac:dyDescent="0.25">
      <c r="B3380" s="89">
        <v>44328.083333333336</v>
      </c>
      <c r="C3380" s="92" t="s">
        <v>3171</v>
      </c>
      <c r="D3380" s="23"/>
      <c r="E3380" s="91">
        <v>7210000</v>
      </c>
      <c r="F3380" s="93"/>
      <c r="G3380" s="93">
        <f t="shared" si="650"/>
        <v>7210000</v>
      </c>
      <c r="H3380" s="94"/>
      <c r="I3380" s="94">
        <v>145208.44</v>
      </c>
      <c r="J3380" s="91">
        <v>61708.66</v>
      </c>
      <c r="K3380" s="25">
        <f t="shared" si="651"/>
        <v>7003082.8999999994</v>
      </c>
      <c r="L3380" s="95">
        <f t="shared" si="652"/>
        <v>58641333</v>
      </c>
      <c r="M3380" s="20">
        <v>7210000</v>
      </c>
      <c r="N3380" s="20">
        <f>+G3380-M3380</f>
        <v>0</v>
      </c>
      <c r="P3380" s="55">
        <v>50328771</v>
      </c>
      <c r="Q3380" s="127">
        <v>44287</v>
      </c>
      <c r="R3380" s="14">
        <v>483600</v>
      </c>
      <c r="S3380" s="14">
        <v>657800</v>
      </c>
      <c r="U3380" s="3">
        <f>+U3378*12.5%</f>
        <v>3917433.35</v>
      </c>
      <c r="V3380" s="172" t="s">
        <v>2769</v>
      </c>
    </row>
    <row r="3381" spans="1:24" ht="15" hidden="1" x14ac:dyDescent="0.25">
      <c r="B3381" s="89">
        <v>44356.083333333336</v>
      </c>
      <c r="C3381" s="92" t="s">
        <v>3172</v>
      </c>
      <c r="D3381" s="23"/>
      <c r="E3381" s="91">
        <v>7210000</v>
      </c>
      <c r="F3381" s="93"/>
      <c r="G3381" s="93">
        <f t="shared" si="650"/>
        <v>7210000</v>
      </c>
      <c r="H3381" s="94"/>
      <c r="I3381" s="94">
        <v>145208.44</v>
      </c>
      <c r="J3381" s="91">
        <v>61708.66</v>
      </c>
      <c r="K3381" s="25">
        <f t="shared" si="651"/>
        <v>7003082.8999999994</v>
      </c>
      <c r="L3381" s="95">
        <f t="shared" si="652"/>
        <v>51431333</v>
      </c>
      <c r="M3381" s="20"/>
      <c r="N3381" s="20"/>
      <c r="P3381" s="84">
        <v>50908483</v>
      </c>
      <c r="Q3381" s="174">
        <v>44317</v>
      </c>
      <c r="R3381" s="125">
        <v>483600</v>
      </c>
      <c r="S3381" s="125">
        <v>657800</v>
      </c>
      <c r="U3381" s="3">
        <f>+U3378*16%</f>
        <v>5014314.6880000001</v>
      </c>
      <c r="V3381" s="173" t="s">
        <v>2771</v>
      </c>
    </row>
    <row r="3382" spans="1:24" ht="15" hidden="1" x14ac:dyDescent="0.25">
      <c r="B3382" s="89">
        <v>44385.083333333336</v>
      </c>
      <c r="C3382" s="92" t="s">
        <v>3173</v>
      </c>
      <c r="D3382" s="23"/>
      <c r="E3382" s="91">
        <v>7210000</v>
      </c>
      <c r="F3382" s="93"/>
      <c r="G3382" s="93">
        <f t="shared" si="650"/>
        <v>7210000</v>
      </c>
      <c r="H3382" s="94"/>
      <c r="I3382" s="94">
        <v>145208.44</v>
      </c>
      <c r="J3382" s="91">
        <v>61708.66</v>
      </c>
      <c r="K3382" s="25">
        <f t="shared" si="651"/>
        <v>7003082.8999999994</v>
      </c>
      <c r="L3382" s="95">
        <f t="shared" si="652"/>
        <v>44221333</v>
      </c>
      <c r="M3382" s="20"/>
      <c r="N3382" s="20"/>
      <c r="P3382" s="84">
        <v>51513282</v>
      </c>
      <c r="Q3382" s="174">
        <v>44348</v>
      </c>
      <c r="R3382" s="125">
        <v>483600</v>
      </c>
      <c r="S3382" s="125">
        <v>657800</v>
      </c>
    </row>
    <row r="3383" spans="1:24" ht="15" hidden="1" x14ac:dyDescent="0.25">
      <c r="B3383" s="89">
        <v>44417.083333333336</v>
      </c>
      <c r="C3383" s="92" t="s">
        <v>3174</v>
      </c>
      <c r="D3383" s="23"/>
      <c r="E3383" s="91">
        <v>7210000</v>
      </c>
      <c r="F3383" s="93"/>
      <c r="G3383" s="93">
        <f t="shared" si="650"/>
        <v>7210000</v>
      </c>
      <c r="H3383" s="94"/>
      <c r="I3383" s="94">
        <v>145208.44</v>
      </c>
      <c r="J3383" s="91">
        <v>61708.66</v>
      </c>
      <c r="K3383" s="25">
        <f t="shared" si="651"/>
        <v>7003082.8999999994</v>
      </c>
      <c r="L3383" s="95">
        <f t="shared" si="652"/>
        <v>37011333</v>
      </c>
      <c r="M3383" s="20"/>
      <c r="N3383" s="20"/>
      <c r="P3383" s="84">
        <v>52169094</v>
      </c>
      <c r="Q3383" s="174">
        <v>44378</v>
      </c>
      <c r="R3383" s="125">
        <v>483600</v>
      </c>
      <c r="S3383" s="125">
        <v>657800</v>
      </c>
      <c r="W3383" s="31">
        <v>7210000</v>
      </c>
      <c r="X3383" s="131">
        <f>+E3383-W3383</f>
        <v>0</v>
      </c>
    </row>
    <row r="3384" spans="1:24" ht="15" hidden="1" x14ac:dyDescent="0.25">
      <c r="B3384" s="89">
        <v>44442.083333333336</v>
      </c>
      <c r="C3384" s="92" t="s">
        <v>3175</v>
      </c>
      <c r="D3384" s="23"/>
      <c r="E3384" s="91">
        <v>7210000</v>
      </c>
      <c r="F3384" s="93"/>
      <c r="G3384" s="93">
        <f t="shared" si="650"/>
        <v>7210000</v>
      </c>
      <c r="H3384" s="94"/>
      <c r="I3384" s="94">
        <v>145208.44</v>
      </c>
      <c r="J3384" s="91">
        <v>61708.66</v>
      </c>
      <c r="K3384" s="25">
        <f t="shared" si="651"/>
        <v>7003082.8999999994</v>
      </c>
      <c r="L3384" s="95">
        <f>+L3383-G3384</f>
        <v>29801333</v>
      </c>
      <c r="M3384" s="20"/>
      <c r="N3384" s="20"/>
      <c r="P3384" s="84">
        <v>52830734</v>
      </c>
      <c r="Q3384" s="174">
        <v>44409</v>
      </c>
      <c r="R3384" s="125">
        <v>483600</v>
      </c>
      <c r="S3384" s="125">
        <v>657800</v>
      </c>
      <c r="W3384" s="31"/>
      <c r="X3384" s="131"/>
    </row>
    <row r="3385" spans="1:24" ht="15" hidden="1" x14ac:dyDescent="0.25">
      <c r="B3385" s="89">
        <v>44476.083333333336</v>
      </c>
      <c r="C3385" s="92" t="s">
        <v>3176</v>
      </c>
      <c r="D3385" s="23"/>
      <c r="E3385" s="91">
        <v>7210000</v>
      </c>
      <c r="F3385" s="93"/>
      <c r="G3385" s="93">
        <f t="shared" si="650"/>
        <v>7210000</v>
      </c>
      <c r="H3385" s="94"/>
      <c r="I3385" s="94">
        <v>145208.44</v>
      </c>
      <c r="J3385" s="91">
        <v>61708.66</v>
      </c>
      <c r="K3385" s="25">
        <f t="shared" si="651"/>
        <v>7003082.8999999994</v>
      </c>
      <c r="L3385" s="95">
        <f>+L3384-G3385</f>
        <v>22591333</v>
      </c>
      <c r="M3385" s="20"/>
      <c r="N3385" s="20"/>
      <c r="P3385" s="84">
        <v>53557886</v>
      </c>
      <c r="Q3385" s="174">
        <v>44440</v>
      </c>
      <c r="R3385" s="125">
        <v>483600</v>
      </c>
      <c r="S3385" s="125">
        <v>657800</v>
      </c>
      <c r="W3385" s="31"/>
      <c r="X3385" s="131"/>
    </row>
    <row r="3386" spans="1:24" ht="15" hidden="1" x14ac:dyDescent="0.25">
      <c r="B3386" s="89">
        <v>44512.125</v>
      </c>
      <c r="C3386" s="92" t="s">
        <v>3177</v>
      </c>
      <c r="D3386" s="23"/>
      <c r="E3386" s="91">
        <v>7210000</v>
      </c>
      <c r="F3386" s="93"/>
      <c r="G3386" s="93">
        <f t="shared" si="650"/>
        <v>7210000</v>
      </c>
      <c r="H3386" s="94"/>
      <c r="I3386" s="94">
        <v>145208.44</v>
      </c>
      <c r="J3386" s="91">
        <v>61708.66</v>
      </c>
      <c r="K3386" s="25">
        <f t="shared" si="651"/>
        <v>7003082.8999999994</v>
      </c>
      <c r="L3386" s="95">
        <f>+L3385-G3386</f>
        <v>15381333</v>
      </c>
      <c r="M3386" s="20"/>
      <c r="N3386" s="20"/>
      <c r="P3386" s="84">
        <v>54208961</v>
      </c>
      <c r="Q3386" s="174">
        <v>44470</v>
      </c>
      <c r="R3386" s="125">
        <v>483600</v>
      </c>
      <c r="S3386" s="125">
        <v>657800</v>
      </c>
      <c r="W3386" s="31"/>
      <c r="X3386" s="131"/>
    </row>
    <row r="3387" spans="1:24" ht="15" hidden="1" x14ac:dyDescent="0.25">
      <c r="B3387" s="89">
        <v>44540.125</v>
      </c>
      <c r="C3387" s="92" t="s">
        <v>3178</v>
      </c>
      <c r="D3387" s="23"/>
      <c r="E3387" s="91">
        <v>7210000</v>
      </c>
      <c r="F3387" s="93"/>
      <c r="G3387" s="93">
        <f t="shared" si="650"/>
        <v>7210000</v>
      </c>
      <c r="H3387" s="94"/>
      <c r="I3387" s="94">
        <v>145208.44</v>
      </c>
      <c r="J3387" s="91">
        <v>61708.66</v>
      </c>
      <c r="K3387" s="25">
        <f t="shared" si="651"/>
        <v>7003082.8999999994</v>
      </c>
      <c r="L3387" s="95">
        <f>+L3386-G3387</f>
        <v>8171333</v>
      </c>
      <c r="M3387" s="20"/>
      <c r="N3387" s="20"/>
      <c r="P3387" s="84">
        <v>54935875</v>
      </c>
      <c r="Q3387" s="174">
        <v>44501</v>
      </c>
      <c r="R3387" s="125">
        <v>483600</v>
      </c>
      <c r="S3387" s="125">
        <v>657800</v>
      </c>
      <c r="W3387" s="31"/>
      <c r="X3387" s="131"/>
    </row>
    <row r="3388" spans="1:24" ht="15" hidden="1" x14ac:dyDescent="0.25">
      <c r="B3388" s="89">
        <v>44559.125</v>
      </c>
      <c r="C3388" s="92" t="s">
        <v>3179</v>
      </c>
      <c r="D3388" s="23"/>
      <c r="E3388" s="91">
        <v>7210000</v>
      </c>
      <c r="F3388" s="93"/>
      <c r="G3388" s="93">
        <f t="shared" si="650"/>
        <v>7210000</v>
      </c>
      <c r="H3388" s="94"/>
      <c r="I3388" s="94">
        <v>145208.44</v>
      </c>
      <c r="J3388" s="91">
        <v>61708.66</v>
      </c>
      <c r="K3388" s="25">
        <f t="shared" si="651"/>
        <v>7003082.8999999994</v>
      </c>
      <c r="L3388" s="95">
        <f>+L3387-G3388</f>
        <v>961333</v>
      </c>
      <c r="M3388" s="20"/>
      <c r="N3388" s="20"/>
      <c r="P3388" s="84">
        <v>55360701</v>
      </c>
      <c r="Q3388" s="174">
        <v>44531</v>
      </c>
      <c r="R3388" s="125">
        <v>483600</v>
      </c>
      <c r="S3388" s="125">
        <v>657800</v>
      </c>
      <c r="W3388" s="31"/>
      <c r="X3388" s="131"/>
    </row>
    <row r="3389" spans="1:24" ht="15" hidden="1" x14ac:dyDescent="0.25">
      <c r="B3389" s="89"/>
      <c r="C3389" s="92"/>
      <c r="D3389" s="23"/>
      <c r="E3389" s="91"/>
      <c r="F3389" s="93"/>
      <c r="G3389" s="93"/>
      <c r="H3389" s="94"/>
      <c r="I3389" s="94"/>
      <c r="J3389" s="91"/>
      <c r="K3389" s="25"/>
      <c r="L3389" s="95"/>
      <c r="M3389" s="20"/>
      <c r="N3389" s="20"/>
      <c r="P3389" s="84"/>
      <c r="Q3389" s="174"/>
      <c r="R3389" s="177">
        <f>SUM(R3378:R3388)</f>
        <v>5319600</v>
      </c>
      <c r="S3389" s="178">
        <f>SUM(S3378:S3388)</f>
        <v>7235800</v>
      </c>
      <c r="W3389" s="31"/>
      <c r="X3389" s="131"/>
    </row>
    <row r="3390" spans="1:24" ht="15" hidden="1" x14ac:dyDescent="0.25">
      <c r="A3390" s="21">
        <v>2692021</v>
      </c>
      <c r="B3390" s="139" t="s">
        <v>3180</v>
      </c>
      <c r="C3390" s="140"/>
      <c r="D3390" s="141">
        <v>66000000</v>
      </c>
      <c r="E3390" s="141">
        <f>+D3390</f>
        <v>66000000</v>
      </c>
      <c r="F3390" s="141"/>
      <c r="G3390" s="141"/>
      <c r="H3390" s="141"/>
      <c r="I3390" s="141"/>
      <c r="J3390" s="141"/>
      <c r="K3390" s="141"/>
      <c r="L3390" s="141">
        <f>+D3390</f>
        <v>66000000</v>
      </c>
      <c r="M3390" s="142"/>
      <c r="N3390" s="142"/>
      <c r="O3390" s="149">
        <f>+VLOOKUP(A3390,'[1]ANEXO 7 - PPTO VIG 2021'!$H$8:$AB$160,21,)-L3401</f>
        <v>-3600000</v>
      </c>
    </row>
    <row r="3391" spans="1:24" ht="15" hidden="1" x14ac:dyDescent="0.25">
      <c r="B3391" s="89">
        <v>44267.125</v>
      </c>
      <c r="C3391" s="92" t="s">
        <v>3181</v>
      </c>
      <c r="D3391" s="23"/>
      <c r="E3391" s="91">
        <v>2400000</v>
      </c>
      <c r="F3391" s="93"/>
      <c r="G3391" s="93">
        <f t="shared" ref="G3391:G3401" si="653">+E3391</f>
        <v>2400000</v>
      </c>
      <c r="H3391" s="94"/>
      <c r="I3391" s="94"/>
      <c r="J3391" s="91">
        <v>23184</v>
      </c>
      <c r="K3391" s="25">
        <f t="shared" ref="K3391:K3401" si="654">+G3391-H3391-I3391-J3391</f>
        <v>2376816</v>
      </c>
      <c r="L3391" s="95">
        <f t="shared" ref="L3391:L3396" si="655">+L3390-G3391</f>
        <v>63600000</v>
      </c>
      <c r="M3391" s="96"/>
      <c r="N3391" s="96"/>
      <c r="P3391" s="247" t="s">
        <v>3133</v>
      </c>
      <c r="Q3391" s="247"/>
      <c r="R3391" s="247"/>
      <c r="S3391" s="247"/>
      <c r="T3391" s="3">
        <f>+L3390-3600000</f>
        <v>62400000</v>
      </c>
      <c r="U3391" s="3">
        <f>+T3391*40%</f>
        <v>24960000</v>
      </c>
    </row>
    <row r="3392" spans="1:24" ht="15" hidden="1" x14ac:dyDescent="0.25">
      <c r="B3392" s="89">
        <v>44293.083333333336</v>
      </c>
      <c r="C3392" s="92" t="s">
        <v>3182</v>
      </c>
      <c r="D3392" s="23"/>
      <c r="E3392" s="91">
        <v>6000000</v>
      </c>
      <c r="F3392" s="93"/>
      <c r="G3392" s="93">
        <f t="shared" si="653"/>
        <v>6000000</v>
      </c>
      <c r="H3392" s="94"/>
      <c r="I3392" s="91">
        <v>67813.87</v>
      </c>
      <c r="J3392" s="91">
        <v>54876.53</v>
      </c>
      <c r="K3392" s="25">
        <f t="shared" si="654"/>
        <v>5877309.5999999996</v>
      </c>
      <c r="L3392" s="95">
        <f t="shared" si="655"/>
        <v>57600000</v>
      </c>
      <c r="M3392" s="96"/>
      <c r="N3392" s="96"/>
      <c r="P3392" s="55">
        <v>49297291</v>
      </c>
      <c r="Q3392" s="127">
        <v>44228</v>
      </c>
      <c r="R3392" s="14">
        <v>140000</v>
      </c>
      <c r="S3392" s="14">
        <v>179200</v>
      </c>
      <c r="U3392" s="3"/>
    </row>
    <row r="3393" spans="1:24" ht="15" hidden="1" x14ac:dyDescent="0.25">
      <c r="B3393" s="89">
        <v>44321.083333333336</v>
      </c>
      <c r="C3393" s="92" t="s">
        <v>3183</v>
      </c>
      <c r="D3393" s="23"/>
      <c r="E3393" s="91">
        <v>6000000</v>
      </c>
      <c r="F3393" s="93"/>
      <c r="G3393" s="93">
        <f t="shared" si="653"/>
        <v>6000000</v>
      </c>
      <c r="H3393" s="94"/>
      <c r="I3393" s="94">
        <v>14875.1</v>
      </c>
      <c r="J3393" s="91">
        <v>51352.56</v>
      </c>
      <c r="K3393" s="25">
        <f t="shared" si="654"/>
        <v>5933772.3400000008</v>
      </c>
      <c r="L3393" s="95">
        <f t="shared" si="655"/>
        <v>51600000</v>
      </c>
      <c r="M3393" s="20">
        <v>6000000</v>
      </c>
      <c r="N3393" s="20">
        <f>+G3393-M3393</f>
        <v>0</v>
      </c>
      <c r="P3393" s="55">
        <v>49297303</v>
      </c>
      <c r="Q3393" s="127">
        <v>44256</v>
      </c>
      <c r="R3393" s="14">
        <v>300000</v>
      </c>
      <c r="S3393" s="14">
        <v>384000</v>
      </c>
      <c r="U3393" s="3">
        <f>+U3391*12.5%</f>
        <v>3120000</v>
      </c>
      <c r="V3393" s="172" t="s">
        <v>2769</v>
      </c>
    </row>
    <row r="3394" spans="1:24" ht="15" hidden="1" x14ac:dyDescent="0.25">
      <c r="B3394" s="89">
        <v>44351.083333333336</v>
      </c>
      <c r="C3394" s="92" t="s">
        <v>3184</v>
      </c>
      <c r="D3394" s="23"/>
      <c r="E3394" s="91">
        <v>6000000</v>
      </c>
      <c r="F3394" s="93"/>
      <c r="G3394" s="93">
        <f t="shared" si="653"/>
        <v>6000000</v>
      </c>
      <c r="H3394" s="94"/>
      <c r="I3394" s="94">
        <v>14875.1</v>
      </c>
      <c r="J3394" s="91">
        <v>51352.56</v>
      </c>
      <c r="K3394" s="25">
        <f t="shared" si="654"/>
        <v>5933772.3400000008</v>
      </c>
      <c r="L3394" s="95">
        <f t="shared" si="655"/>
        <v>45600000</v>
      </c>
      <c r="M3394" s="20"/>
      <c r="N3394" s="20"/>
      <c r="P3394" s="55">
        <v>965201003</v>
      </c>
      <c r="Q3394" s="127">
        <v>44287</v>
      </c>
      <c r="R3394" s="14">
        <v>300000</v>
      </c>
      <c r="S3394" s="14">
        <v>384000</v>
      </c>
      <c r="U3394" s="3">
        <f>+U3391*16%</f>
        <v>3993600</v>
      </c>
      <c r="V3394" s="173" t="s">
        <v>2771</v>
      </c>
    </row>
    <row r="3395" spans="1:24" ht="15" hidden="1" x14ac:dyDescent="0.25">
      <c r="B3395" s="89">
        <v>44383.083333333336</v>
      </c>
      <c r="C3395" s="92" t="s">
        <v>3185</v>
      </c>
      <c r="D3395" s="23"/>
      <c r="E3395" s="91">
        <v>6000000</v>
      </c>
      <c r="F3395" s="93"/>
      <c r="G3395" s="93">
        <f t="shared" si="653"/>
        <v>6000000</v>
      </c>
      <c r="H3395" s="94"/>
      <c r="I3395" s="94">
        <v>14875.1</v>
      </c>
      <c r="J3395" s="91">
        <v>51352.56</v>
      </c>
      <c r="K3395" s="25">
        <f t="shared" si="654"/>
        <v>5933772.3400000008</v>
      </c>
      <c r="L3395" s="95">
        <f t="shared" si="655"/>
        <v>39600000</v>
      </c>
      <c r="M3395" s="20"/>
      <c r="N3395" s="20"/>
      <c r="P3395" s="55">
        <v>50544966</v>
      </c>
      <c r="Q3395" s="127">
        <v>44317</v>
      </c>
      <c r="R3395" s="14">
        <v>300000</v>
      </c>
      <c r="S3395" s="14">
        <v>384000</v>
      </c>
    </row>
    <row r="3396" spans="1:24" ht="15" hidden="1" x14ac:dyDescent="0.25">
      <c r="B3396" s="89">
        <v>44418.083333333336</v>
      </c>
      <c r="C3396" s="92" t="s">
        <v>3186</v>
      </c>
      <c r="D3396" s="23"/>
      <c r="E3396" s="91">
        <v>6000000</v>
      </c>
      <c r="F3396" s="93"/>
      <c r="G3396" s="93">
        <f t="shared" si="653"/>
        <v>6000000</v>
      </c>
      <c r="H3396" s="94"/>
      <c r="I3396" s="94">
        <v>14875.1</v>
      </c>
      <c r="J3396" s="91">
        <v>51352.56</v>
      </c>
      <c r="K3396" s="25">
        <f t="shared" si="654"/>
        <v>5933772.3400000008</v>
      </c>
      <c r="L3396" s="95">
        <f t="shared" si="655"/>
        <v>33600000</v>
      </c>
      <c r="M3396" s="20"/>
      <c r="N3396" s="20"/>
      <c r="P3396" s="55">
        <v>51145041</v>
      </c>
      <c r="Q3396" s="127">
        <v>44348</v>
      </c>
      <c r="R3396" s="14">
        <v>300000</v>
      </c>
      <c r="S3396" s="14">
        <v>384000</v>
      </c>
      <c r="W3396" s="31">
        <v>6000000</v>
      </c>
      <c r="X3396" s="131">
        <f>+E3396-W3396</f>
        <v>0</v>
      </c>
    </row>
    <row r="3397" spans="1:24" ht="15" hidden="1" x14ac:dyDescent="0.25">
      <c r="B3397" s="89">
        <v>44441.083333333336</v>
      </c>
      <c r="C3397" s="92" t="s">
        <v>3187</v>
      </c>
      <c r="D3397" s="23"/>
      <c r="E3397" s="91">
        <v>6000000</v>
      </c>
      <c r="F3397" s="93"/>
      <c r="G3397" s="93">
        <f t="shared" si="653"/>
        <v>6000000</v>
      </c>
      <c r="H3397" s="94"/>
      <c r="I3397" s="94">
        <v>14875.1</v>
      </c>
      <c r="J3397" s="91">
        <v>51352.56</v>
      </c>
      <c r="K3397" s="25">
        <f t="shared" si="654"/>
        <v>5933772.3400000008</v>
      </c>
      <c r="L3397" s="95">
        <f>+L3396-G3397</f>
        <v>27600000</v>
      </c>
      <c r="M3397" s="20"/>
      <c r="N3397" s="20"/>
      <c r="P3397" s="84">
        <v>51916318</v>
      </c>
      <c r="Q3397" s="127">
        <v>44378</v>
      </c>
      <c r="R3397" s="14">
        <v>300000</v>
      </c>
      <c r="S3397" s="14">
        <v>384000</v>
      </c>
      <c r="W3397" s="31"/>
      <c r="X3397" s="131"/>
    </row>
    <row r="3398" spans="1:24" ht="15" hidden="1" x14ac:dyDescent="0.25">
      <c r="B3398" s="89">
        <v>44474.083333333336</v>
      </c>
      <c r="C3398" s="92" t="s">
        <v>3188</v>
      </c>
      <c r="D3398" s="23"/>
      <c r="E3398" s="91">
        <v>6000000</v>
      </c>
      <c r="F3398" s="93"/>
      <c r="G3398" s="93">
        <f t="shared" si="653"/>
        <v>6000000</v>
      </c>
      <c r="H3398" s="94"/>
      <c r="I3398" s="94">
        <v>14875.1</v>
      </c>
      <c r="J3398" s="91">
        <v>51352.56</v>
      </c>
      <c r="K3398" s="25">
        <f t="shared" si="654"/>
        <v>5933772.3400000008</v>
      </c>
      <c r="L3398" s="95">
        <f>+L3397-G3398</f>
        <v>21600000</v>
      </c>
      <c r="M3398" s="20"/>
      <c r="N3398" s="20"/>
      <c r="P3398" s="84">
        <v>52607347</v>
      </c>
      <c r="Q3398" s="127">
        <v>44409</v>
      </c>
      <c r="R3398" s="14">
        <v>300000</v>
      </c>
      <c r="S3398" s="14">
        <v>384000</v>
      </c>
      <c r="W3398" s="31"/>
      <c r="X3398" s="131"/>
    </row>
    <row r="3399" spans="1:24" ht="15" hidden="1" x14ac:dyDescent="0.25">
      <c r="B3399" s="89">
        <v>44504.083333333336</v>
      </c>
      <c r="C3399" s="92" t="s">
        <v>3189</v>
      </c>
      <c r="D3399" s="23"/>
      <c r="E3399" s="91">
        <v>6000000</v>
      </c>
      <c r="F3399" s="93"/>
      <c r="G3399" s="93">
        <f t="shared" si="653"/>
        <v>6000000</v>
      </c>
      <c r="H3399" s="94"/>
      <c r="I3399" s="94">
        <v>14875.1</v>
      </c>
      <c r="J3399" s="91">
        <v>51352.56</v>
      </c>
      <c r="K3399" s="25">
        <f t="shared" si="654"/>
        <v>5933772.3400000008</v>
      </c>
      <c r="L3399" s="95">
        <f>+L3398-G3399</f>
        <v>15600000</v>
      </c>
      <c r="M3399" s="20"/>
      <c r="N3399" s="20"/>
      <c r="P3399" s="84">
        <v>53189268</v>
      </c>
      <c r="Q3399" s="127">
        <v>44440</v>
      </c>
      <c r="R3399" s="14">
        <v>300000</v>
      </c>
      <c r="S3399" s="14">
        <v>384000</v>
      </c>
      <c r="W3399" s="31"/>
      <c r="X3399" s="131"/>
    </row>
    <row r="3400" spans="1:24" ht="15" hidden="1" x14ac:dyDescent="0.25">
      <c r="B3400" s="89">
        <v>44536.125</v>
      </c>
      <c r="C3400" s="92" t="s">
        <v>3190</v>
      </c>
      <c r="D3400" s="23"/>
      <c r="E3400" s="91">
        <v>6000000</v>
      </c>
      <c r="F3400" s="93"/>
      <c r="G3400" s="93">
        <f t="shared" si="653"/>
        <v>6000000</v>
      </c>
      <c r="H3400" s="94"/>
      <c r="I3400" s="94">
        <v>14875.1</v>
      </c>
      <c r="J3400" s="91">
        <v>51352.56</v>
      </c>
      <c r="K3400" s="25">
        <f t="shared" si="654"/>
        <v>5933772.3400000008</v>
      </c>
      <c r="L3400" s="95">
        <f>+L3399-G3400</f>
        <v>9600000</v>
      </c>
      <c r="M3400" s="20"/>
      <c r="N3400" s="20"/>
      <c r="P3400" s="84">
        <v>53937675</v>
      </c>
      <c r="Q3400" s="127">
        <v>44470</v>
      </c>
      <c r="R3400" s="14">
        <v>300000</v>
      </c>
      <c r="S3400" s="14">
        <v>384000</v>
      </c>
      <c r="W3400" s="31"/>
      <c r="X3400" s="131"/>
    </row>
    <row r="3401" spans="1:24" ht="15" hidden="1" x14ac:dyDescent="0.25">
      <c r="B3401" s="89">
        <v>44559.125</v>
      </c>
      <c r="C3401" s="92" t="s">
        <v>3191</v>
      </c>
      <c r="D3401" s="23"/>
      <c r="E3401" s="91">
        <v>6000000</v>
      </c>
      <c r="F3401" s="93"/>
      <c r="G3401" s="93">
        <f t="shared" si="653"/>
        <v>6000000</v>
      </c>
      <c r="H3401" s="94"/>
      <c r="I3401" s="94">
        <v>14875.1</v>
      </c>
      <c r="J3401" s="91">
        <v>51352.56</v>
      </c>
      <c r="K3401" s="25">
        <f t="shared" si="654"/>
        <v>5933772.3400000008</v>
      </c>
      <c r="L3401" s="95">
        <f>+L3400-G3401</f>
        <v>3600000</v>
      </c>
      <c r="M3401" s="20"/>
      <c r="N3401" s="20"/>
      <c r="P3401" s="84">
        <v>54491099</v>
      </c>
      <c r="Q3401" s="127">
        <v>44501</v>
      </c>
      <c r="R3401" s="14">
        <v>300000</v>
      </c>
      <c r="S3401" s="14">
        <v>384000</v>
      </c>
      <c r="W3401" s="31"/>
      <c r="X3401" s="131"/>
    </row>
    <row r="3402" spans="1:24" ht="15" hidden="1" x14ac:dyDescent="0.25">
      <c r="B3402" s="89"/>
      <c r="C3402" s="92"/>
      <c r="D3402" s="23"/>
      <c r="E3402" s="91"/>
      <c r="F3402" s="93"/>
      <c r="G3402" s="93"/>
      <c r="H3402" s="94"/>
      <c r="I3402" s="94"/>
      <c r="J3402" s="91"/>
      <c r="K3402" s="25"/>
      <c r="L3402" s="95"/>
      <c r="M3402" s="20"/>
      <c r="N3402" s="20"/>
      <c r="P3402" s="84">
        <v>55234714</v>
      </c>
      <c r="Q3402" s="127">
        <v>44531</v>
      </c>
      <c r="R3402" s="14">
        <v>300000</v>
      </c>
      <c r="S3402" s="14">
        <v>384000</v>
      </c>
      <c r="W3402" s="31"/>
      <c r="X3402" s="131"/>
    </row>
    <row r="3403" spans="1:24" ht="15" hidden="1" x14ac:dyDescent="0.25">
      <c r="B3403" s="89"/>
      <c r="C3403" s="92"/>
      <c r="D3403" s="23"/>
      <c r="E3403" s="91"/>
      <c r="F3403" s="93"/>
      <c r="G3403" s="93"/>
      <c r="H3403" s="94"/>
      <c r="I3403" s="94"/>
      <c r="J3403" s="91"/>
      <c r="K3403" s="25"/>
      <c r="L3403" s="95"/>
      <c r="M3403" s="20"/>
      <c r="N3403" s="20"/>
      <c r="P3403" s="84"/>
      <c r="Q3403" s="174"/>
      <c r="R3403" s="177">
        <f>SUM(R3392:R3402)</f>
        <v>3140000</v>
      </c>
      <c r="S3403" s="178">
        <f>SUM(S3392:S3402)</f>
        <v>4019200</v>
      </c>
      <c r="W3403" s="31"/>
      <c r="X3403" s="131"/>
    </row>
    <row r="3404" spans="1:24" ht="15" hidden="1" x14ac:dyDescent="0.25">
      <c r="A3404" s="21">
        <v>1942021</v>
      </c>
      <c r="B3404" s="139" t="s">
        <v>3192</v>
      </c>
      <c r="C3404" s="140"/>
      <c r="D3404" s="141">
        <v>83232240</v>
      </c>
      <c r="E3404" s="141">
        <f>+D3404</f>
        <v>83232240</v>
      </c>
      <c r="F3404" s="141"/>
      <c r="G3404" s="141"/>
      <c r="H3404" s="141"/>
      <c r="I3404" s="141"/>
      <c r="J3404" s="141"/>
      <c r="K3404" s="141"/>
      <c r="L3404" s="141">
        <f>+D3404</f>
        <v>83232240</v>
      </c>
      <c r="M3404" s="142"/>
      <c r="N3404" s="142"/>
      <c r="O3404" s="149">
        <f>+VLOOKUP(A3404,'[1]ANEXO 7 - PPTO VIG 2021'!$H$8:$AB$160,21,)-L3415</f>
        <v>-1499680</v>
      </c>
    </row>
    <row r="3405" spans="1:24" ht="15" hidden="1" x14ac:dyDescent="0.25">
      <c r="B3405" s="89">
        <v>44259.125</v>
      </c>
      <c r="C3405" s="92" t="s">
        <v>3193</v>
      </c>
      <c r="D3405" s="23"/>
      <c r="E3405" s="91">
        <v>6748560</v>
      </c>
      <c r="F3405" s="93"/>
      <c r="G3405" s="93">
        <f t="shared" ref="G3405:G3415" si="656">+E3405</f>
        <v>6748560</v>
      </c>
      <c r="H3405" s="94"/>
      <c r="I3405" s="94">
        <v>98332.81</v>
      </c>
      <c r="J3405" s="91">
        <v>57759.31</v>
      </c>
      <c r="K3405" s="25">
        <f t="shared" ref="K3405:K3415" si="657">+G3405-H3405-I3405-J3405</f>
        <v>6592467.8800000008</v>
      </c>
      <c r="L3405" s="95">
        <f t="shared" ref="L3405:L3410" si="658">+L3404-G3405</f>
        <v>76483680</v>
      </c>
      <c r="M3405" s="96"/>
      <c r="N3405" s="96"/>
      <c r="P3405" s="21">
        <v>9416349607</v>
      </c>
      <c r="Q3405" s="127">
        <v>44228</v>
      </c>
      <c r="R3405" s="14">
        <v>364000</v>
      </c>
      <c r="S3405" s="14">
        <v>466000</v>
      </c>
      <c r="T3405" s="3">
        <f>+L3404-1499680</f>
        <v>81732560</v>
      </c>
      <c r="U3405" s="3">
        <f>+T3405*40%</f>
        <v>32693024</v>
      </c>
    </row>
    <row r="3406" spans="1:24" ht="15" hidden="1" x14ac:dyDescent="0.25">
      <c r="B3406" s="89">
        <v>44293.083333333336</v>
      </c>
      <c r="C3406" s="92" t="s">
        <v>3194</v>
      </c>
      <c r="D3406" s="23"/>
      <c r="E3406" s="91">
        <v>7498400</v>
      </c>
      <c r="F3406" s="93"/>
      <c r="G3406" s="93">
        <f t="shared" si="656"/>
        <v>7498400</v>
      </c>
      <c r="H3406" s="94"/>
      <c r="I3406" s="91">
        <v>128487.37</v>
      </c>
      <c r="J3406" s="91">
        <v>64177.01</v>
      </c>
      <c r="K3406" s="25">
        <f t="shared" si="657"/>
        <v>7305735.6200000001</v>
      </c>
      <c r="L3406" s="95">
        <f t="shared" si="658"/>
        <v>68985280</v>
      </c>
      <c r="M3406" s="96"/>
      <c r="N3406" s="96"/>
      <c r="P3406" s="55">
        <v>9417859691</v>
      </c>
      <c r="Q3406" s="127">
        <v>44256</v>
      </c>
      <c r="R3406" s="14">
        <v>375000</v>
      </c>
      <c r="S3406" s="14">
        <v>479900</v>
      </c>
    </row>
    <row r="3407" spans="1:24" ht="15" hidden="1" x14ac:dyDescent="0.25">
      <c r="B3407" s="89">
        <v>44320.083333333336</v>
      </c>
      <c r="C3407" s="92" t="s">
        <v>3195</v>
      </c>
      <c r="D3407" s="23"/>
      <c r="E3407" s="93">
        <v>7498400</v>
      </c>
      <c r="F3407" s="93"/>
      <c r="G3407" s="93">
        <f t="shared" si="656"/>
        <v>7498400</v>
      </c>
      <c r="H3407" s="94"/>
      <c r="I3407" s="94">
        <v>128487.37</v>
      </c>
      <c r="J3407" s="91">
        <v>64177.01</v>
      </c>
      <c r="K3407" s="25">
        <f t="shared" si="657"/>
        <v>7305735.6200000001</v>
      </c>
      <c r="L3407" s="95">
        <f t="shared" si="658"/>
        <v>61486880</v>
      </c>
      <c r="M3407" s="20">
        <v>7498400</v>
      </c>
      <c r="N3407" s="20">
        <f>+G3407-M3407</f>
        <v>0</v>
      </c>
      <c r="P3407" s="21">
        <v>9418999041</v>
      </c>
      <c r="Q3407" s="127">
        <v>44287</v>
      </c>
      <c r="R3407" s="14">
        <v>375000</v>
      </c>
      <c r="S3407" s="14">
        <v>479900</v>
      </c>
      <c r="U3407" s="3">
        <f>+U3405*12.5%</f>
        <v>4086628</v>
      </c>
      <c r="V3407" s="172" t="s">
        <v>2769</v>
      </c>
    </row>
    <row r="3408" spans="1:24" ht="15" hidden="1" x14ac:dyDescent="0.25">
      <c r="B3408" s="89">
        <v>44349.083333333336</v>
      </c>
      <c r="C3408" s="92" t="s">
        <v>3196</v>
      </c>
      <c r="D3408" s="23"/>
      <c r="E3408" s="93">
        <v>7498400</v>
      </c>
      <c r="F3408" s="93"/>
      <c r="G3408" s="93">
        <f t="shared" si="656"/>
        <v>7498400</v>
      </c>
      <c r="H3408" s="94"/>
      <c r="I3408" s="94">
        <v>128487.37</v>
      </c>
      <c r="J3408" s="91">
        <v>64177.01</v>
      </c>
      <c r="K3408" s="25">
        <f t="shared" si="657"/>
        <v>7305735.6200000001</v>
      </c>
      <c r="L3408" s="95">
        <f t="shared" si="658"/>
        <v>53988480</v>
      </c>
      <c r="M3408" s="20"/>
      <c r="N3408" s="20"/>
      <c r="P3408" s="55">
        <v>999213326</v>
      </c>
      <c r="Q3408" s="127">
        <v>44317</v>
      </c>
      <c r="R3408" s="14">
        <v>375000</v>
      </c>
      <c r="S3408" s="14">
        <v>479900</v>
      </c>
      <c r="U3408" s="3">
        <f>+U3405*16%</f>
        <v>5230883.84</v>
      </c>
      <c r="V3408" s="173" t="s">
        <v>2771</v>
      </c>
    </row>
    <row r="3409" spans="1:24" ht="15" hidden="1" x14ac:dyDescent="0.25">
      <c r="B3409" s="89">
        <v>44384.083333333336</v>
      </c>
      <c r="C3409" s="92" t="s">
        <v>3197</v>
      </c>
      <c r="D3409" s="23"/>
      <c r="E3409" s="93">
        <v>7498400</v>
      </c>
      <c r="F3409" s="93"/>
      <c r="G3409" s="93">
        <f t="shared" si="656"/>
        <v>7498400</v>
      </c>
      <c r="H3409" s="94"/>
      <c r="I3409" s="94">
        <v>128487.37</v>
      </c>
      <c r="J3409" s="91">
        <v>64177.01</v>
      </c>
      <c r="K3409" s="25">
        <f t="shared" si="657"/>
        <v>7305735.6200000001</v>
      </c>
      <c r="L3409" s="95">
        <f t="shared" si="658"/>
        <v>46490080</v>
      </c>
      <c r="M3409" s="20"/>
      <c r="N3409" s="20"/>
      <c r="P3409" s="84">
        <v>9421471382</v>
      </c>
      <c r="Q3409" s="174">
        <v>44348</v>
      </c>
      <c r="R3409" s="14">
        <v>375000</v>
      </c>
      <c r="S3409" s="14">
        <v>479900</v>
      </c>
    </row>
    <row r="3410" spans="1:24" ht="15" hidden="1" x14ac:dyDescent="0.25">
      <c r="B3410" s="89">
        <v>44411.083333333336</v>
      </c>
      <c r="C3410" s="92" t="s">
        <v>3198</v>
      </c>
      <c r="D3410" s="23"/>
      <c r="E3410" s="93">
        <v>7498400</v>
      </c>
      <c r="F3410" s="93"/>
      <c r="G3410" s="93">
        <f t="shared" si="656"/>
        <v>7498400</v>
      </c>
      <c r="H3410" s="94"/>
      <c r="I3410" s="94">
        <v>128487.37</v>
      </c>
      <c r="J3410" s="91">
        <v>64177.01</v>
      </c>
      <c r="K3410" s="25">
        <f t="shared" si="657"/>
        <v>7305735.6200000001</v>
      </c>
      <c r="L3410" s="95">
        <f t="shared" si="658"/>
        <v>38991680</v>
      </c>
      <c r="M3410" s="20"/>
      <c r="N3410" s="20"/>
      <c r="P3410" s="84">
        <v>9422478650</v>
      </c>
      <c r="Q3410" s="174">
        <v>44378</v>
      </c>
      <c r="R3410" s="14">
        <v>375000</v>
      </c>
      <c r="S3410" s="14">
        <v>479900</v>
      </c>
      <c r="W3410" s="31" t="e">
        <v>#N/A</v>
      </c>
      <c r="X3410" s="131" t="e">
        <f>+E3410-W3410</f>
        <v>#N/A</v>
      </c>
    </row>
    <row r="3411" spans="1:24" ht="15" hidden="1" x14ac:dyDescent="0.25">
      <c r="B3411" s="89">
        <v>44441.083333333336</v>
      </c>
      <c r="C3411" s="92" t="s">
        <v>3199</v>
      </c>
      <c r="D3411" s="23"/>
      <c r="E3411" s="93">
        <v>7498400</v>
      </c>
      <c r="F3411" s="93"/>
      <c r="G3411" s="93">
        <f t="shared" si="656"/>
        <v>7498400</v>
      </c>
      <c r="H3411" s="94"/>
      <c r="I3411" s="94">
        <v>128487.37</v>
      </c>
      <c r="J3411" s="91">
        <v>64177.01</v>
      </c>
      <c r="K3411" s="25">
        <f t="shared" si="657"/>
        <v>7305735.6200000001</v>
      </c>
      <c r="L3411" s="95">
        <f>+L3410-G3411</f>
        <v>31493280</v>
      </c>
      <c r="M3411" s="20"/>
      <c r="N3411" s="20"/>
      <c r="P3411" s="84">
        <v>9423845447</v>
      </c>
      <c r="Q3411" s="174">
        <v>44409</v>
      </c>
      <c r="R3411" s="14">
        <v>375000</v>
      </c>
      <c r="S3411" s="14">
        <v>479900</v>
      </c>
      <c r="W3411" s="31"/>
      <c r="X3411" s="131"/>
    </row>
    <row r="3412" spans="1:24" ht="15" hidden="1" x14ac:dyDescent="0.25">
      <c r="B3412" s="89">
        <v>44477.083333333336</v>
      </c>
      <c r="C3412" s="92" t="s">
        <v>3200</v>
      </c>
      <c r="D3412" s="23"/>
      <c r="E3412" s="93">
        <v>7498400</v>
      </c>
      <c r="F3412" s="93"/>
      <c r="G3412" s="93">
        <f t="shared" si="656"/>
        <v>7498400</v>
      </c>
      <c r="H3412" s="94"/>
      <c r="I3412" s="94">
        <v>128487.37</v>
      </c>
      <c r="J3412" s="91">
        <v>64177.01</v>
      </c>
      <c r="K3412" s="25">
        <f t="shared" si="657"/>
        <v>7305735.6200000001</v>
      </c>
      <c r="L3412" s="95">
        <f>+L3411-G3412</f>
        <v>23994880</v>
      </c>
      <c r="M3412" s="20"/>
      <c r="N3412" s="20"/>
      <c r="P3412" s="84">
        <v>9425152646</v>
      </c>
      <c r="Q3412" s="174">
        <v>44440</v>
      </c>
      <c r="R3412" s="14">
        <v>375000</v>
      </c>
      <c r="S3412" s="14">
        <v>479900</v>
      </c>
      <c r="W3412" s="31"/>
      <c r="X3412" s="131"/>
    </row>
    <row r="3413" spans="1:24" ht="15" hidden="1" x14ac:dyDescent="0.25">
      <c r="B3413" s="89">
        <v>44511.125</v>
      </c>
      <c r="C3413" s="92" t="s">
        <v>3201</v>
      </c>
      <c r="D3413" s="23"/>
      <c r="E3413" s="93">
        <v>7498400</v>
      </c>
      <c r="F3413" s="93"/>
      <c r="G3413" s="93">
        <f t="shared" si="656"/>
        <v>7498400</v>
      </c>
      <c r="H3413" s="94"/>
      <c r="I3413" s="94">
        <v>128487.37</v>
      </c>
      <c r="J3413" s="91">
        <v>64177.01</v>
      </c>
      <c r="K3413" s="25">
        <f t="shared" si="657"/>
        <v>7305735.6200000001</v>
      </c>
      <c r="L3413" s="95">
        <f>+L3412-G3413</f>
        <v>16496480</v>
      </c>
      <c r="M3413" s="20"/>
      <c r="N3413" s="20"/>
      <c r="P3413" s="84">
        <v>9426371617</v>
      </c>
      <c r="Q3413" s="174">
        <v>44470</v>
      </c>
      <c r="R3413" s="14">
        <v>375000</v>
      </c>
      <c r="S3413" s="14">
        <v>479900</v>
      </c>
      <c r="W3413" s="31"/>
      <c r="X3413" s="131"/>
    </row>
    <row r="3414" spans="1:24" ht="15" hidden="1" x14ac:dyDescent="0.25">
      <c r="B3414" s="89">
        <v>44539.125</v>
      </c>
      <c r="C3414" s="92" t="s">
        <v>3202</v>
      </c>
      <c r="D3414" s="23"/>
      <c r="E3414" s="93">
        <v>7498400</v>
      </c>
      <c r="F3414" s="93"/>
      <c r="G3414" s="93">
        <f t="shared" si="656"/>
        <v>7498400</v>
      </c>
      <c r="H3414" s="94"/>
      <c r="I3414" s="94">
        <v>128487.37</v>
      </c>
      <c r="J3414" s="91">
        <v>64177.01</v>
      </c>
      <c r="K3414" s="25">
        <f t="shared" si="657"/>
        <v>7305735.6200000001</v>
      </c>
      <c r="L3414" s="95">
        <f>+L3413-G3414</f>
        <v>8998080</v>
      </c>
      <c r="M3414" s="20"/>
      <c r="N3414" s="20"/>
      <c r="P3414" s="84">
        <v>9427710999</v>
      </c>
      <c r="Q3414" s="174">
        <v>44501</v>
      </c>
      <c r="R3414" s="14">
        <v>375000</v>
      </c>
      <c r="S3414" s="14">
        <v>479900</v>
      </c>
      <c r="W3414" s="31"/>
      <c r="X3414" s="131"/>
    </row>
    <row r="3415" spans="1:24" ht="15" hidden="1" x14ac:dyDescent="0.25">
      <c r="B3415" s="89">
        <v>44551.125</v>
      </c>
      <c r="C3415" s="92" t="s">
        <v>3203</v>
      </c>
      <c r="D3415" s="23"/>
      <c r="E3415" s="93">
        <v>7498400</v>
      </c>
      <c r="F3415" s="93"/>
      <c r="G3415" s="93">
        <f t="shared" si="656"/>
        <v>7498400</v>
      </c>
      <c r="H3415" s="94"/>
      <c r="I3415" s="94">
        <v>128487.37</v>
      </c>
      <c r="J3415" s="91">
        <v>64177.01</v>
      </c>
      <c r="K3415" s="25">
        <f t="shared" si="657"/>
        <v>7305735.6200000001</v>
      </c>
      <c r="L3415" s="95">
        <f>+L3414-G3415</f>
        <v>1499680</v>
      </c>
      <c r="M3415" s="20"/>
      <c r="N3415" s="20"/>
      <c r="P3415" s="84">
        <v>9428279172</v>
      </c>
      <c r="Q3415" s="174">
        <v>44531</v>
      </c>
      <c r="R3415" s="14">
        <v>375000</v>
      </c>
      <c r="S3415" s="14">
        <v>479900</v>
      </c>
      <c r="W3415" s="31"/>
      <c r="X3415" s="131"/>
    </row>
    <row r="3416" spans="1:24" ht="15" hidden="1" x14ac:dyDescent="0.25">
      <c r="B3416" s="89"/>
      <c r="C3416" s="92"/>
      <c r="D3416" s="23"/>
      <c r="E3416" s="93"/>
      <c r="F3416" s="93"/>
      <c r="G3416" s="93"/>
      <c r="H3416" s="94"/>
      <c r="I3416" s="94"/>
      <c r="J3416" s="91"/>
      <c r="K3416" s="25"/>
      <c r="L3416" s="95"/>
      <c r="M3416" s="20"/>
      <c r="N3416" s="20"/>
      <c r="P3416" s="84"/>
      <c r="Q3416" s="174"/>
      <c r="R3416" s="177">
        <f>SUM(R3405:R3415)</f>
        <v>4114000</v>
      </c>
      <c r="S3416" s="178">
        <f>SUM(S3405:S3415)</f>
        <v>5265000</v>
      </c>
      <c r="W3416" s="31"/>
      <c r="X3416" s="131"/>
    </row>
    <row r="3417" spans="1:24" ht="15" hidden="1" x14ac:dyDescent="0.25">
      <c r="A3417" s="21">
        <v>1462021</v>
      </c>
      <c r="B3417" s="139" t="s">
        <v>3204</v>
      </c>
      <c r="C3417" s="140"/>
      <c r="D3417" s="141">
        <v>31000000</v>
      </c>
      <c r="E3417" s="141">
        <f>+D3417</f>
        <v>31000000</v>
      </c>
      <c r="F3417" s="141"/>
      <c r="G3417" s="141"/>
      <c r="H3417" s="141"/>
      <c r="I3417" s="141"/>
      <c r="J3417" s="141"/>
      <c r="K3417" s="141"/>
      <c r="L3417" s="141">
        <f>+D3417</f>
        <v>31000000</v>
      </c>
      <c r="M3417" s="142"/>
      <c r="N3417" s="142"/>
      <c r="O3417" s="149">
        <f>+VLOOKUP(A3417,'[1]ANEXO 7 - PPTO VIG 2021'!$H$8:$AB$160,21,)-L3424</f>
        <v>0</v>
      </c>
    </row>
    <row r="3418" spans="1:24" ht="15" hidden="1" x14ac:dyDescent="0.25">
      <c r="B3418" s="89">
        <v>44267.125</v>
      </c>
      <c r="C3418" s="92" t="s">
        <v>3205</v>
      </c>
      <c r="D3418" s="23"/>
      <c r="E3418" s="91">
        <v>800000</v>
      </c>
      <c r="F3418" s="93"/>
      <c r="G3418" s="93">
        <f t="shared" ref="G3418:G3424" si="659">+E3418</f>
        <v>800000</v>
      </c>
      <c r="H3418" s="94"/>
      <c r="I3418" s="94">
        <v>0</v>
      </c>
      <c r="J3418" s="91">
        <v>6847.01</v>
      </c>
      <c r="K3418" s="25">
        <f t="shared" ref="K3418:K3424" si="660">+G3418-H3418-I3418-J3418</f>
        <v>793152.99</v>
      </c>
      <c r="L3418" s="95">
        <f t="shared" ref="L3418:L3424" si="661">+L3417-G3418</f>
        <v>30200000</v>
      </c>
      <c r="M3418" s="96"/>
      <c r="N3418" s="96"/>
    </row>
    <row r="3419" spans="1:24" ht="15" hidden="1" x14ac:dyDescent="0.25">
      <c r="B3419" s="89">
        <v>44267.125</v>
      </c>
      <c r="C3419" s="92" t="s">
        <v>3206</v>
      </c>
      <c r="D3419" s="23"/>
      <c r="E3419" s="91">
        <v>6000000</v>
      </c>
      <c r="F3419" s="93"/>
      <c r="G3419" s="93">
        <f t="shared" si="659"/>
        <v>6000000</v>
      </c>
      <c r="H3419" s="94"/>
      <c r="I3419" s="94">
        <v>14775.36</v>
      </c>
      <c r="J3419" s="91">
        <v>51352.56</v>
      </c>
      <c r="K3419" s="25">
        <f t="shared" si="660"/>
        <v>5933872.0800000001</v>
      </c>
      <c r="L3419" s="95">
        <f t="shared" si="661"/>
        <v>24200000</v>
      </c>
      <c r="M3419" s="96"/>
      <c r="N3419" s="96"/>
    </row>
    <row r="3420" spans="1:24" ht="15" hidden="1" x14ac:dyDescent="0.25">
      <c r="B3420" s="89">
        <v>44292.083333333336</v>
      </c>
      <c r="C3420" s="92" t="s">
        <v>3207</v>
      </c>
      <c r="D3420" s="23"/>
      <c r="E3420" s="91">
        <v>6000000</v>
      </c>
      <c r="F3420" s="93"/>
      <c r="G3420" s="93">
        <f t="shared" si="659"/>
        <v>6000000</v>
      </c>
      <c r="H3420" s="94"/>
      <c r="I3420" s="91">
        <v>14875.1</v>
      </c>
      <c r="J3420" s="91">
        <v>51352.56</v>
      </c>
      <c r="K3420" s="25">
        <f t="shared" si="660"/>
        <v>5933772.3400000008</v>
      </c>
      <c r="L3420" s="95">
        <f t="shared" si="661"/>
        <v>18200000</v>
      </c>
      <c r="M3420" s="96"/>
      <c r="N3420" s="96"/>
    </row>
    <row r="3421" spans="1:24" ht="15" hidden="1" x14ac:dyDescent="0.25">
      <c r="B3421" s="89">
        <v>44321.083333333336</v>
      </c>
      <c r="C3421" s="92" t="s">
        <v>3208</v>
      </c>
      <c r="D3421" s="23"/>
      <c r="E3421" s="91">
        <v>6000000</v>
      </c>
      <c r="F3421" s="93"/>
      <c r="G3421" s="93">
        <f t="shared" si="659"/>
        <v>6000000</v>
      </c>
      <c r="H3421" s="94"/>
      <c r="I3421" s="91">
        <v>14775.36</v>
      </c>
      <c r="J3421" s="91">
        <v>51352.56</v>
      </c>
      <c r="K3421" s="25">
        <f t="shared" si="660"/>
        <v>5933872.0800000001</v>
      </c>
      <c r="L3421" s="95">
        <f t="shared" si="661"/>
        <v>12200000</v>
      </c>
      <c r="M3421" s="20">
        <v>6000000</v>
      </c>
      <c r="N3421" s="20">
        <f>+G3421-M3421</f>
        <v>0</v>
      </c>
      <c r="P3421" s="110">
        <v>963030441</v>
      </c>
      <c r="Q3421" s="122">
        <v>44256</v>
      </c>
      <c r="R3421" s="111">
        <v>318300</v>
      </c>
      <c r="S3421" s="111">
        <v>407400</v>
      </c>
    </row>
    <row r="3422" spans="1:24" ht="15" hidden="1" x14ac:dyDescent="0.25">
      <c r="B3422" s="89">
        <v>44349.083333333336</v>
      </c>
      <c r="C3422" s="92" t="s">
        <v>3209</v>
      </c>
      <c r="D3422" s="23"/>
      <c r="E3422" s="91">
        <v>6000000</v>
      </c>
      <c r="F3422" s="93"/>
      <c r="G3422" s="93">
        <f t="shared" si="659"/>
        <v>6000000</v>
      </c>
      <c r="H3422" s="94"/>
      <c r="I3422" s="91">
        <v>14875.1</v>
      </c>
      <c r="J3422" s="91">
        <v>51352.56</v>
      </c>
      <c r="K3422" s="25">
        <f t="shared" si="660"/>
        <v>5933772.3400000008</v>
      </c>
      <c r="L3422" s="95">
        <f t="shared" si="661"/>
        <v>6200000</v>
      </c>
      <c r="M3422" s="20"/>
      <c r="N3422" s="20"/>
      <c r="P3422" s="84">
        <v>50638616</v>
      </c>
      <c r="Q3422" s="174">
        <v>44287</v>
      </c>
      <c r="R3422" s="125">
        <v>300000</v>
      </c>
      <c r="S3422" s="125">
        <v>384000</v>
      </c>
    </row>
    <row r="3423" spans="1:24" ht="15" hidden="1" x14ac:dyDescent="0.25">
      <c r="B3423" s="89">
        <v>44418.083333333336</v>
      </c>
      <c r="C3423" s="92" t="s">
        <v>3210</v>
      </c>
      <c r="D3423" s="23"/>
      <c r="E3423" s="91">
        <v>6000000</v>
      </c>
      <c r="F3423" s="93"/>
      <c r="G3423" s="93">
        <f t="shared" si="659"/>
        <v>6000000</v>
      </c>
      <c r="H3423" s="94"/>
      <c r="I3423" s="91">
        <v>14134.09</v>
      </c>
      <c r="J3423" s="91">
        <v>51352.56</v>
      </c>
      <c r="K3423" s="25">
        <f t="shared" si="660"/>
        <v>5934513.3500000006</v>
      </c>
      <c r="L3423" s="95">
        <f t="shared" si="661"/>
        <v>200000</v>
      </c>
      <c r="M3423" s="20"/>
      <c r="N3423" s="20"/>
      <c r="P3423" s="84">
        <v>51099851</v>
      </c>
      <c r="Q3423" s="174">
        <v>44317</v>
      </c>
      <c r="R3423" s="125">
        <v>425500</v>
      </c>
      <c r="S3423" s="125">
        <v>544000</v>
      </c>
      <c r="W3423" s="31">
        <v>6000000</v>
      </c>
      <c r="X3423" s="131">
        <f>+E3423-W3423</f>
        <v>0</v>
      </c>
    </row>
    <row r="3424" spans="1:24" ht="15" hidden="1" x14ac:dyDescent="0.25">
      <c r="B3424" s="89">
        <v>44419.083333333336</v>
      </c>
      <c r="C3424" s="92" t="s">
        <v>3211</v>
      </c>
      <c r="D3424" s="23"/>
      <c r="E3424" s="91">
        <v>200000</v>
      </c>
      <c r="F3424" s="93"/>
      <c r="G3424" s="93">
        <f t="shared" si="659"/>
        <v>200000</v>
      </c>
      <c r="H3424" s="94"/>
      <c r="I3424" s="91"/>
      <c r="J3424" s="91">
        <v>1711.75</v>
      </c>
      <c r="K3424" s="25">
        <f t="shared" si="660"/>
        <v>198288.25</v>
      </c>
      <c r="L3424" s="95">
        <f t="shared" si="661"/>
        <v>0</v>
      </c>
      <c r="M3424" s="20"/>
      <c r="N3424" s="20"/>
      <c r="P3424" s="84">
        <v>51283166</v>
      </c>
      <c r="Q3424" s="174">
        <v>44348</v>
      </c>
      <c r="R3424" s="125">
        <v>425500</v>
      </c>
      <c r="S3424" s="125">
        <v>544000</v>
      </c>
      <c r="W3424" s="31">
        <v>200000</v>
      </c>
      <c r="X3424" s="131">
        <f>+E3424-W3424</f>
        <v>0</v>
      </c>
    </row>
    <row r="3425" spans="1:24" ht="15" hidden="1" x14ac:dyDescent="0.25">
      <c r="B3425" s="89"/>
      <c r="C3425" s="92"/>
      <c r="D3425" s="23"/>
      <c r="E3425" s="91"/>
      <c r="F3425" s="93"/>
      <c r="G3425" s="93"/>
      <c r="H3425" s="94"/>
      <c r="I3425" s="91"/>
      <c r="J3425" s="91"/>
      <c r="K3425" s="25"/>
      <c r="L3425" s="95"/>
      <c r="M3425" s="20"/>
      <c r="N3425" s="20"/>
      <c r="P3425" s="84"/>
      <c r="Q3425" s="174"/>
      <c r="R3425" s="125"/>
      <c r="S3425" s="125"/>
      <c r="W3425" s="31"/>
      <c r="X3425" s="131"/>
    </row>
    <row r="3426" spans="1:24" ht="15" hidden="1" x14ac:dyDescent="0.25">
      <c r="A3426" s="21">
        <v>1802021</v>
      </c>
      <c r="B3426" s="139" t="s">
        <v>3212</v>
      </c>
      <c r="C3426" s="140"/>
      <c r="D3426" s="141">
        <v>70699200</v>
      </c>
      <c r="E3426" s="141">
        <f>+D3426</f>
        <v>70699200</v>
      </c>
      <c r="F3426" s="141"/>
      <c r="G3426" s="141"/>
      <c r="H3426" s="141"/>
      <c r="I3426" s="141"/>
      <c r="J3426" s="141"/>
      <c r="K3426" s="141"/>
      <c r="L3426" s="141">
        <f>+D3426</f>
        <v>70699200</v>
      </c>
      <c r="M3426" s="142"/>
      <c r="N3426" s="142"/>
      <c r="O3426" s="149">
        <f>+VLOOKUP(A3426,'[1]ANEXO 7 - PPTO VIG 2021'!$H$8:$AB$160,21,)-L3438</f>
        <v>-1071200</v>
      </c>
    </row>
    <row r="3427" spans="1:24" ht="15" hidden="1" x14ac:dyDescent="0.25">
      <c r="B3427" s="89">
        <v>44271.083333333336</v>
      </c>
      <c r="C3427" s="92" t="s">
        <v>3213</v>
      </c>
      <c r="D3427" s="23"/>
      <c r="E3427" s="91">
        <v>5356000</v>
      </c>
      <c r="F3427" s="93"/>
      <c r="G3427" s="93">
        <f t="shared" ref="G3427:G3438" si="662">+E3427</f>
        <v>5356000</v>
      </c>
      <c r="H3427" s="94"/>
      <c r="I3427" s="94"/>
      <c r="J3427" s="91">
        <v>45840.72</v>
      </c>
      <c r="K3427" s="25">
        <f>+G3427-H3427-I3427-J3427</f>
        <v>5310159.28</v>
      </c>
      <c r="L3427" s="95">
        <f>+L3426-G3427</f>
        <v>65343200</v>
      </c>
      <c r="M3427" s="96"/>
      <c r="N3427" s="96"/>
      <c r="P3427" s="21">
        <v>7780717989</v>
      </c>
      <c r="Q3427" s="127">
        <v>44228</v>
      </c>
      <c r="R3427" s="14">
        <v>321400</v>
      </c>
      <c r="S3427" s="14">
        <v>411400</v>
      </c>
      <c r="T3427" s="3">
        <f>+L3426-1071200</f>
        <v>69628000</v>
      </c>
      <c r="U3427" s="3">
        <f>+T3427*40%</f>
        <v>27851200</v>
      </c>
    </row>
    <row r="3428" spans="1:24" ht="15" hidden="1" x14ac:dyDescent="0.25">
      <c r="B3428" s="89">
        <v>44298.083333333336</v>
      </c>
      <c r="C3428" s="92" t="s">
        <v>3214</v>
      </c>
      <c r="D3428" s="23"/>
      <c r="E3428" s="91">
        <v>6427200</v>
      </c>
      <c r="F3428" s="93"/>
      <c r="G3428" s="93">
        <f t="shared" si="662"/>
        <v>6427200</v>
      </c>
      <c r="H3428" s="94"/>
      <c r="I3428" s="91">
        <v>260516.62</v>
      </c>
      <c r="J3428" s="91">
        <v>62086.75</v>
      </c>
      <c r="K3428" s="25">
        <f>+G3428-H3428-I3428-J3428</f>
        <v>6104596.6299999999</v>
      </c>
      <c r="L3428" s="95">
        <f>+L3427-G3428</f>
        <v>58916000</v>
      </c>
      <c r="M3428" s="96"/>
      <c r="N3428" s="96"/>
      <c r="P3428" s="186">
        <v>7780717989</v>
      </c>
      <c r="Q3428" s="144">
        <v>44228</v>
      </c>
      <c r="U3428" s="3"/>
    </row>
    <row r="3429" spans="1:24" ht="15" hidden="1" x14ac:dyDescent="0.25">
      <c r="B3429" s="89">
        <v>44335.083333333336</v>
      </c>
      <c r="C3429" s="92" t="s">
        <v>3215</v>
      </c>
      <c r="D3429" s="23"/>
      <c r="E3429" s="91">
        <v>6427200</v>
      </c>
      <c r="F3429" s="93"/>
      <c r="G3429" s="93">
        <f t="shared" si="662"/>
        <v>6427200</v>
      </c>
      <c r="H3429" s="94"/>
      <c r="I3429" s="94">
        <v>62595.39</v>
      </c>
      <c r="J3429" s="91">
        <v>55008.86</v>
      </c>
      <c r="K3429" s="25">
        <f>+G3429-H3429-I3429-J3429</f>
        <v>6309595.75</v>
      </c>
      <c r="L3429" s="95">
        <f>+L3428-G3429</f>
        <v>52488800</v>
      </c>
      <c r="M3429" s="20">
        <v>6427200</v>
      </c>
      <c r="N3429" s="20">
        <f>+G3429-M3429</f>
        <v>0</v>
      </c>
      <c r="P3429" s="55">
        <v>7787836940</v>
      </c>
      <c r="Q3429" s="127">
        <v>44256</v>
      </c>
      <c r="R3429" s="14">
        <v>321400</v>
      </c>
      <c r="S3429" s="14">
        <v>411400</v>
      </c>
      <c r="U3429" s="3">
        <f>+U3427*12.5%</f>
        <v>3481400</v>
      </c>
      <c r="V3429" s="172" t="s">
        <v>2769</v>
      </c>
    </row>
    <row r="3430" spans="1:24" ht="15" hidden="1" x14ac:dyDescent="0.25">
      <c r="B3430" s="89">
        <v>44403.083333333336</v>
      </c>
      <c r="C3430" s="92" t="s">
        <v>3216</v>
      </c>
      <c r="D3430" s="23"/>
      <c r="E3430" s="91">
        <v>6427200</v>
      </c>
      <c r="F3430" s="93"/>
      <c r="G3430" s="93">
        <f t="shared" si="662"/>
        <v>6427200</v>
      </c>
      <c r="H3430" s="94"/>
      <c r="I3430" s="94">
        <v>62595.39</v>
      </c>
      <c r="J3430" s="91">
        <v>55008.86</v>
      </c>
      <c r="K3430" s="25">
        <f>+G3430-H3430-I3430-J3430</f>
        <v>6309595.75</v>
      </c>
      <c r="L3430" s="95">
        <f>+L3429-G3430</f>
        <v>46061600</v>
      </c>
      <c r="M3430" s="20"/>
      <c r="N3430" s="20"/>
      <c r="P3430" s="84">
        <v>7791148358</v>
      </c>
      <c r="Q3430" s="174">
        <v>44287</v>
      </c>
      <c r="R3430" s="14">
        <f>321400+219700</f>
        <v>541100</v>
      </c>
      <c r="S3430" s="14">
        <f>411400+324600</f>
        <v>736000</v>
      </c>
      <c r="U3430" s="3">
        <f>+U3427*16%</f>
        <v>4456192</v>
      </c>
      <c r="V3430" s="173" t="s">
        <v>2771</v>
      </c>
    </row>
    <row r="3431" spans="1:24" ht="15" hidden="1" x14ac:dyDescent="0.25">
      <c r="B3431" s="89"/>
      <c r="C3431" s="92"/>
      <c r="D3431" s="23"/>
      <c r="E3431" s="91"/>
      <c r="F3431" s="93"/>
      <c r="G3431" s="93"/>
      <c r="H3431" s="94"/>
      <c r="I3431" s="94"/>
      <c r="J3431" s="91"/>
      <c r="K3431" s="25"/>
      <c r="L3431" s="95"/>
      <c r="M3431" s="20"/>
      <c r="N3431" s="20"/>
      <c r="P3431" s="175">
        <v>7804189728</v>
      </c>
      <c r="Q3431" s="176">
        <v>44287</v>
      </c>
      <c r="R3431" s="125">
        <v>219700</v>
      </c>
      <c r="S3431" s="125">
        <v>324600</v>
      </c>
    </row>
    <row r="3432" spans="1:24" ht="15" hidden="1" x14ac:dyDescent="0.25">
      <c r="B3432" s="89">
        <v>44400.083333333336</v>
      </c>
      <c r="C3432" s="92" t="s">
        <v>3217</v>
      </c>
      <c r="D3432" s="23"/>
      <c r="E3432" s="91">
        <v>6427200</v>
      </c>
      <c r="F3432" s="93"/>
      <c r="G3432" s="93">
        <f t="shared" si="662"/>
        <v>6427200</v>
      </c>
      <c r="H3432" s="94"/>
      <c r="I3432" s="94">
        <v>61298.65</v>
      </c>
      <c r="J3432" s="91">
        <v>55008.86</v>
      </c>
      <c r="K3432" s="25">
        <f t="shared" ref="K3432:K3438" si="663">+G3432-H3432-I3432-J3432</f>
        <v>6310892.4899999993</v>
      </c>
      <c r="L3432" s="95">
        <f>+L3430-G3432</f>
        <v>39634400</v>
      </c>
      <c r="M3432" s="20"/>
      <c r="N3432" s="20"/>
      <c r="P3432" s="84">
        <v>7801816500</v>
      </c>
      <c r="Q3432" s="174">
        <v>44317</v>
      </c>
      <c r="R3432" s="125">
        <v>541100</v>
      </c>
      <c r="S3432" s="125">
        <v>736000</v>
      </c>
    </row>
    <row r="3433" spans="1:24" ht="15" hidden="1" x14ac:dyDescent="0.25">
      <c r="B3433" s="89">
        <v>44441.083333333336</v>
      </c>
      <c r="C3433" s="92" t="s">
        <v>3218</v>
      </c>
      <c r="D3433" s="23"/>
      <c r="E3433" s="91">
        <v>6427200</v>
      </c>
      <c r="F3433" s="93"/>
      <c r="G3433" s="93">
        <f t="shared" si="662"/>
        <v>6427200</v>
      </c>
      <c r="H3433" s="94"/>
      <c r="I3433" s="94">
        <v>57635.14</v>
      </c>
      <c r="J3433" s="91">
        <v>55008.86</v>
      </c>
      <c r="K3433" s="25">
        <f t="shared" si="663"/>
        <v>6314556</v>
      </c>
      <c r="L3433" s="95">
        <f t="shared" ref="L3433:L3438" si="664">+L3432-G3433</f>
        <v>33207200</v>
      </c>
      <c r="M3433" s="20"/>
      <c r="N3433" s="20"/>
      <c r="P3433" s="84">
        <v>7804977858</v>
      </c>
      <c r="Q3433" s="174">
        <v>44348</v>
      </c>
      <c r="R3433" s="125">
        <v>541100</v>
      </c>
      <c r="S3433" s="125">
        <v>736000</v>
      </c>
    </row>
    <row r="3434" spans="1:24" ht="15" hidden="1" x14ac:dyDescent="0.25">
      <c r="B3434" s="89">
        <v>44462.083333333336</v>
      </c>
      <c r="C3434" s="92" t="s">
        <v>3219</v>
      </c>
      <c r="D3434" s="23"/>
      <c r="E3434" s="91">
        <v>6427200</v>
      </c>
      <c r="F3434" s="93"/>
      <c r="G3434" s="93">
        <f t="shared" si="662"/>
        <v>6427200</v>
      </c>
      <c r="H3434" s="94"/>
      <c r="I3434" s="94">
        <v>57635.14</v>
      </c>
      <c r="J3434" s="91">
        <v>55008.86</v>
      </c>
      <c r="K3434" s="25">
        <f t="shared" si="663"/>
        <v>6314556</v>
      </c>
      <c r="L3434" s="95">
        <f t="shared" si="664"/>
        <v>26780000</v>
      </c>
      <c r="M3434" s="20"/>
      <c r="N3434" s="20"/>
      <c r="P3434" s="84">
        <v>7809774033</v>
      </c>
      <c r="Q3434" s="174">
        <v>44409</v>
      </c>
      <c r="R3434" s="125">
        <v>541100</v>
      </c>
      <c r="S3434" s="125">
        <v>736000</v>
      </c>
    </row>
    <row r="3435" spans="1:24" ht="15" hidden="1" x14ac:dyDescent="0.25">
      <c r="B3435" s="89">
        <v>44508.125</v>
      </c>
      <c r="C3435" s="92" t="s">
        <v>3220</v>
      </c>
      <c r="D3435" s="23"/>
      <c r="E3435" s="91">
        <v>6427200</v>
      </c>
      <c r="F3435" s="93"/>
      <c r="G3435" s="93">
        <f t="shared" si="662"/>
        <v>6427200</v>
      </c>
      <c r="H3435" s="94"/>
      <c r="I3435" s="94">
        <v>57635.14</v>
      </c>
      <c r="J3435" s="91">
        <v>55008.86</v>
      </c>
      <c r="K3435" s="25">
        <f t="shared" si="663"/>
        <v>6314556</v>
      </c>
      <c r="L3435" s="95">
        <f t="shared" si="664"/>
        <v>20352800</v>
      </c>
      <c r="M3435" s="20"/>
      <c r="N3435" s="20"/>
      <c r="P3435" s="84">
        <v>7814750444</v>
      </c>
      <c r="Q3435" s="174">
        <v>44440</v>
      </c>
      <c r="R3435" s="125">
        <v>541100</v>
      </c>
      <c r="S3435" s="125">
        <v>736000</v>
      </c>
    </row>
    <row r="3436" spans="1:24" ht="15" hidden="1" x14ac:dyDescent="0.25">
      <c r="B3436" s="89">
        <v>44539.125</v>
      </c>
      <c r="C3436" s="92" t="s">
        <v>3221</v>
      </c>
      <c r="D3436" s="23"/>
      <c r="E3436" s="91">
        <v>6427200</v>
      </c>
      <c r="F3436" s="93"/>
      <c r="G3436" s="93">
        <f t="shared" si="662"/>
        <v>6427200</v>
      </c>
      <c r="H3436" s="94"/>
      <c r="I3436" s="94">
        <v>57635.14</v>
      </c>
      <c r="J3436" s="91">
        <v>55008.86</v>
      </c>
      <c r="K3436" s="25">
        <f t="shared" si="663"/>
        <v>6314556</v>
      </c>
      <c r="L3436" s="95">
        <f t="shared" si="664"/>
        <v>13925600</v>
      </c>
      <c r="M3436" s="20"/>
      <c r="N3436" s="20"/>
      <c r="P3436" s="84">
        <v>7818318601</v>
      </c>
      <c r="Q3436" s="174">
        <v>44470</v>
      </c>
      <c r="R3436" s="125">
        <v>541100</v>
      </c>
      <c r="S3436" s="125">
        <v>736000</v>
      </c>
    </row>
    <row r="3437" spans="1:24" ht="15" hidden="1" x14ac:dyDescent="0.25">
      <c r="B3437" s="89">
        <v>44557.125</v>
      </c>
      <c r="C3437" s="92" t="s">
        <v>3222</v>
      </c>
      <c r="D3437" s="23"/>
      <c r="E3437" s="91">
        <v>6427200</v>
      </c>
      <c r="F3437" s="93"/>
      <c r="G3437" s="93">
        <f t="shared" si="662"/>
        <v>6427200</v>
      </c>
      <c r="H3437" s="94"/>
      <c r="I3437" s="94">
        <v>57635.14</v>
      </c>
      <c r="J3437" s="91">
        <v>55008.86</v>
      </c>
      <c r="K3437" s="25">
        <f t="shared" si="663"/>
        <v>6314556</v>
      </c>
      <c r="L3437" s="95">
        <f t="shared" si="664"/>
        <v>7498400</v>
      </c>
      <c r="M3437" s="20"/>
      <c r="N3437" s="20"/>
      <c r="P3437" s="84">
        <v>7818502364</v>
      </c>
      <c r="Q3437" s="174">
        <v>44501</v>
      </c>
      <c r="R3437" s="125">
        <v>541100</v>
      </c>
      <c r="S3437" s="125">
        <v>736000</v>
      </c>
    </row>
    <row r="3438" spans="1:24" ht="15" hidden="1" x14ac:dyDescent="0.25">
      <c r="B3438" s="89">
        <v>44558.125</v>
      </c>
      <c r="C3438" s="92" t="s">
        <v>3223</v>
      </c>
      <c r="D3438" s="23"/>
      <c r="E3438" s="91">
        <v>6427200</v>
      </c>
      <c r="F3438" s="93"/>
      <c r="G3438" s="93">
        <f t="shared" si="662"/>
        <v>6427200</v>
      </c>
      <c r="H3438" s="94"/>
      <c r="I3438" s="94">
        <v>57635.14</v>
      </c>
      <c r="J3438" s="91">
        <v>55008.86</v>
      </c>
      <c r="K3438" s="25">
        <f t="shared" si="663"/>
        <v>6314556</v>
      </c>
      <c r="L3438" s="95">
        <f t="shared" si="664"/>
        <v>1071200</v>
      </c>
      <c r="M3438" s="20"/>
      <c r="N3438" s="20"/>
      <c r="P3438" s="84">
        <v>7820436281</v>
      </c>
      <c r="Q3438" s="174">
        <v>44531</v>
      </c>
      <c r="R3438" s="125">
        <v>541100</v>
      </c>
      <c r="S3438" s="125">
        <v>736000</v>
      </c>
    </row>
    <row r="3439" spans="1:24" ht="15" hidden="1" x14ac:dyDescent="0.25">
      <c r="B3439" s="89"/>
      <c r="C3439" s="92"/>
      <c r="D3439" s="23"/>
      <c r="E3439" s="91"/>
      <c r="F3439" s="93"/>
      <c r="G3439" s="93"/>
      <c r="H3439" s="94"/>
      <c r="I3439" s="94"/>
      <c r="J3439" s="91"/>
      <c r="K3439" s="25"/>
      <c r="L3439" s="95"/>
      <c r="M3439" s="20"/>
      <c r="N3439" s="20"/>
      <c r="P3439" s="175"/>
      <c r="Q3439" s="176"/>
      <c r="R3439" s="177">
        <f>SUM(R3427:R3438)</f>
        <v>5191300</v>
      </c>
      <c r="S3439" s="178">
        <f>SUM(S3427:S3438)</f>
        <v>7035400</v>
      </c>
    </row>
    <row r="3440" spans="1:24" ht="15" hidden="1" x14ac:dyDescent="0.25">
      <c r="B3440" s="139" t="s">
        <v>3224</v>
      </c>
      <c r="C3440" s="140"/>
      <c r="D3440" s="141">
        <v>119140000</v>
      </c>
      <c r="E3440" s="141">
        <f>+D3440</f>
        <v>119140000</v>
      </c>
      <c r="F3440" s="141"/>
      <c r="G3440" s="141"/>
      <c r="H3440" s="141"/>
      <c r="I3440" s="141"/>
      <c r="J3440" s="141"/>
      <c r="K3440" s="141"/>
      <c r="L3440" s="141">
        <f>+D3440</f>
        <v>119140000</v>
      </c>
      <c r="M3440" s="142"/>
      <c r="N3440" s="142"/>
      <c r="O3440" s="130">
        <f>+L3446-'[1]ANEXO 7 - PPTO VIG 2021'!AB149</f>
        <v>0</v>
      </c>
    </row>
    <row r="3441" spans="1:24" ht="15" hidden="1" x14ac:dyDescent="0.25">
      <c r="B3441" s="89">
        <v>44266.125</v>
      </c>
      <c r="C3441" s="92" t="s">
        <v>3225</v>
      </c>
      <c r="D3441" s="23"/>
      <c r="E3441" s="91">
        <v>4144000</v>
      </c>
      <c r="F3441" s="93"/>
      <c r="G3441" s="93">
        <f>+E3441</f>
        <v>4144000</v>
      </c>
      <c r="H3441" s="94"/>
      <c r="I3441" s="94">
        <v>0</v>
      </c>
      <c r="J3441" s="91">
        <v>35467.5</v>
      </c>
      <c r="K3441" s="25">
        <f>+G3441-H3441-I3441-J3441</f>
        <v>4108532.5</v>
      </c>
      <c r="L3441" s="95">
        <f>+L3440-G3441</f>
        <v>114996000</v>
      </c>
      <c r="M3441" s="96"/>
      <c r="N3441" s="96"/>
    </row>
    <row r="3442" spans="1:24" ht="15" hidden="1" x14ac:dyDescent="0.25">
      <c r="B3442" s="89">
        <v>44279.083333333336</v>
      </c>
      <c r="C3442" s="92" t="s">
        <v>3226</v>
      </c>
      <c r="D3442" s="23"/>
      <c r="E3442" s="91">
        <v>10360000</v>
      </c>
      <c r="F3442" s="93"/>
      <c r="G3442" s="93">
        <f>+E3442</f>
        <v>10360000</v>
      </c>
      <c r="H3442" s="94"/>
      <c r="I3442" s="94">
        <v>534906.18999999994</v>
      </c>
      <c r="J3442" s="91">
        <v>88668.75</v>
      </c>
      <c r="K3442" s="25">
        <f>+G3442-H3442-I3442-J3442</f>
        <v>9736425.0600000005</v>
      </c>
      <c r="L3442" s="95">
        <f>+L3441-G3442</f>
        <v>104636000</v>
      </c>
      <c r="M3442" s="96"/>
      <c r="N3442" s="96"/>
    </row>
    <row r="3443" spans="1:24" ht="15" hidden="1" x14ac:dyDescent="0.25">
      <c r="B3443" s="89">
        <v>44322.083333333336</v>
      </c>
      <c r="C3443" s="92" t="s">
        <v>3227</v>
      </c>
      <c r="D3443" s="23"/>
      <c r="E3443" s="91">
        <v>10360000</v>
      </c>
      <c r="F3443" s="93"/>
      <c r="G3443" s="93">
        <f>+E3443</f>
        <v>10360000</v>
      </c>
      <c r="H3443" s="94">
        <v>248117.7</v>
      </c>
      <c r="I3443" s="94">
        <v>233868.43</v>
      </c>
      <c r="J3443" s="91">
        <v>74511.55</v>
      </c>
      <c r="K3443" s="25">
        <f>+G3443-H3443-I3443-J3443</f>
        <v>9803502.3200000003</v>
      </c>
      <c r="L3443" s="95">
        <f>+L3442-G3443</f>
        <v>94276000</v>
      </c>
      <c r="M3443" s="20">
        <v>10360000</v>
      </c>
      <c r="N3443" s="20">
        <f>+G3443-M3443</f>
        <v>0</v>
      </c>
      <c r="P3443" s="55">
        <v>19924085</v>
      </c>
      <c r="Q3443" s="127">
        <v>44256</v>
      </c>
      <c r="R3443" s="14">
        <v>518000</v>
      </c>
      <c r="S3443" s="14">
        <v>704700</v>
      </c>
    </row>
    <row r="3444" spans="1:24" ht="15" hidden="1" x14ac:dyDescent="0.25">
      <c r="B3444" s="89">
        <v>44326.083333333336</v>
      </c>
      <c r="C3444" s="92" t="s">
        <v>3228</v>
      </c>
      <c r="D3444" s="23"/>
      <c r="E3444" s="91">
        <v>10360000</v>
      </c>
      <c r="F3444" s="93"/>
      <c r="G3444" s="93">
        <f>+E3444</f>
        <v>10360000</v>
      </c>
      <c r="H3444" s="94">
        <v>248117.7</v>
      </c>
      <c r="I3444" s="94">
        <v>316650.67</v>
      </c>
      <c r="J3444" s="91">
        <v>74511.55</v>
      </c>
      <c r="K3444" s="25">
        <f>+G3444-H3444-I3444-J3444</f>
        <v>9720720.0800000001</v>
      </c>
      <c r="L3444" s="95">
        <f>+L3443-G3444</f>
        <v>83916000</v>
      </c>
      <c r="M3444" s="20">
        <v>10360000</v>
      </c>
      <c r="N3444" s="20">
        <f>+G3444-M3444</f>
        <v>0</v>
      </c>
      <c r="P3444" s="55">
        <v>20290504</v>
      </c>
      <c r="Q3444" s="127">
        <v>44287</v>
      </c>
      <c r="R3444" s="14">
        <v>518000</v>
      </c>
      <c r="S3444" s="14">
        <v>704700</v>
      </c>
    </row>
    <row r="3445" spans="1:24" ht="15" hidden="1" x14ac:dyDescent="0.25">
      <c r="B3445" s="89">
        <v>44370.083333333336</v>
      </c>
      <c r="C3445" s="92" t="s">
        <v>3229</v>
      </c>
      <c r="D3445" s="23"/>
      <c r="E3445" s="91">
        <v>10360000</v>
      </c>
      <c r="F3445" s="93"/>
      <c r="G3445" s="93">
        <f>+E3445</f>
        <v>10360000</v>
      </c>
      <c r="H3445" s="94">
        <v>248117.7</v>
      </c>
      <c r="I3445" s="94">
        <v>316907.15000000002</v>
      </c>
      <c r="J3445" s="91">
        <v>74511.55</v>
      </c>
      <c r="K3445" s="25">
        <f>+G3445-H3445-I3445-J3445</f>
        <v>9720463.5999999996</v>
      </c>
      <c r="L3445" s="95">
        <f>+L3444-G3445</f>
        <v>73556000</v>
      </c>
      <c r="M3445" s="20"/>
      <c r="N3445" s="20"/>
      <c r="P3445" s="84">
        <v>20563821</v>
      </c>
      <c r="Q3445" s="174">
        <v>44317</v>
      </c>
      <c r="R3445" s="125">
        <v>476100</v>
      </c>
      <c r="S3445" s="125">
        <v>647600</v>
      </c>
    </row>
    <row r="3446" spans="1:24" ht="15" hidden="1" x14ac:dyDescent="0.25">
      <c r="B3446" s="89">
        <v>44370.083333333336</v>
      </c>
      <c r="C3446" s="92" t="s">
        <v>654</v>
      </c>
      <c r="D3446" s="23"/>
      <c r="E3446" s="91"/>
      <c r="F3446" s="93"/>
      <c r="G3446" s="93"/>
      <c r="H3446" s="94"/>
      <c r="I3446" s="94"/>
      <c r="J3446" s="91"/>
      <c r="K3446" s="25"/>
      <c r="L3446" s="95"/>
      <c r="M3446" s="20"/>
      <c r="N3446" s="20"/>
      <c r="P3446" s="84"/>
      <c r="Q3446" s="174"/>
      <c r="R3446" s="125"/>
      <c r="S3446" s="125"/>
    </row>
    <row r="3447" spans="1:24" ht="15" hidden="1" x14ac:dyDescent="0.25">
      <c r="A3447" s="21">
        <v>2262021</v>
      </c>
      <c r="B3447" s="139" t="s">
        <v>3230</v>
      </c>
      <c r="C3447" s="140"/>
      <c r="D3447" s="141">
        <v>77868000</v>
      </c>
      <c r="E3447" s="141">
        <f>+D3447</f>
        <v>77868000</v>
      </c>
      <c r="F3447" s="141"/>
      <c r="G3447" s="141"/>
      <c r="H3447" s="141"/>
      <c r="I3447" s="141"/>
      <c r="J3447" s="141"/>
      <c r="K3447" s="141"/>
      <c r="L3447" s="141">
        <f>+D3447</f>
        <v>77868000</v>
      </c>
      <c r="M3447" s="142"/>
      <c r="N3447" s="142"/>
      <c r="O3447" s="149">
        <f>+VLOOKUP(A3447,'[1]ANEXO 7 - PPTO VIG 2021'!$H$8:$AB$160,21,)-L3458</f>
        <v>-961334</v>
      </c>
    </row>
    <row r="3448" spans="1:24" ht="15" hidden="1" x14ac:dyDescent="0.25">
      <c r="B3448" s="89">
        <v>44279.083333333336</v>
      </c>
      <c r="C3448" s="92" t="s">
        <v>3231</v>
      </c>
      <c r="D3448" s="23"/>
      <c r="E3448" s="91">
        <v>4806666</v>
      </c>
      <c r="F3448" s="93"/>
      <c r="G3448" s="93">
        <f t="shared" ref="G3448:G3458" si="665">+E3448</f>
        <v>4806666</v>
      </c>
      <c r="H3448" s="94"/>
      <c r="I3448" s="94"/>
      <c r="J3448" s="91">
        <v>41139.1</v>
      </c>
      <c r="K3448" s="25">
        <f t="shared" ref="K3448:K3458" si="666">+G3448-H3448-I3448-J3448</f>
        <v>4765526.9000000004</v>
      </c>
      <c r="L3448" s="95">
        <f t="shared" ref="L3448:L3453" si="667">+L3447-G3448</f>
        <v>73061334</v>
      </c>
      <c r="M3448" s="96"/>
      <c r="N3448" s="96"/>
      <c r="P3448" s="21">
        <v>48846588</v>
      </c>
      <c r="Q3448" s="127">
        <v>44228</v>
      </c>
      <c r="R3448" s="3">
        <v>288400</v>
      </c>
      <c r="S3448" s="3">
        <v>369200</v>
      </c>
      <c r="T3448" s="3">
        <f>+L3447-961334</f>
        <v>76906666</v>
      </c>
      <c r="U3448" s="3">
        <f>+T3448*40%</f>
        <v>30762666.400000002</v>
      </c>
    </row>
    <row r="3449" spans="1:24" ht="15" hidden="1" x14ac:dyDescent="0.25">
      <c r="B3449" s="89">
        <v>44300.083333333336</v>
      </c>
      <c r="C3449" s="92" t="s">
        <v>3232</v>
      </c>
      <c r="D3449" s="23"/>
      <c r="E3449" s="91">
        <v>7210000</v>
      </c>
      <c r="F3449" s="93"/>
      <c r="G3449" s="93">
        <f t="shared" si="665"/>
        <v>7210000</v>
      </c>
      <c r="H3449" s="94"/>
      <c r="I3449" s="91">
        <v>150044.92000000001</v>
      </c>
      <c r="J3449" s="91">
        <v>61708.66</v>
      </c>
      <c r="K3449" s="25">
        <f t="shared" si="666"/>
        <v>6998246.4199999999</v>
      </c>
      <c r="L3449" s="95">
        <f t="shared" si="667"/>
        <v>65851334</v>
      </c>
      <c r="M3449" s="96"/>
      <c r="N3449" s="96"/>
      <c r="P3449" s="55">
        <v>49214678</v>
      </c>
      <c r="Q3449" s="127">
        <v>44256</v>
      </c>
      <c r="R3449" s="14">
        <v>360500</v>
      </c>
      <c r="S3449" s="14">
        <v>461500</v>
      </c>
      <c r="U3449" s="3"/>
    </row>
    <row r="3450" spans="1:24" ht="15" hidden="1" x14ac:dyDescent="0.25">
      <c r="B3450" s="89">
        <v>44326.083333333336</v>
      </c>
      <c r="C3450" s="92" t="s">
        <v>3233</v>
      </c>
      <c r="D3450" s="23"/>
      <c r="E3450" s="91">
        <v>7210000</v>
      </c>
      <c r="F3450" s="93"/>
      <c r="G3450" s="93">
        <f t="shared" si="665"/>
        <v>7210000</v>
      </c>
      <c r="H3450" s="94"/>
      <c r="I3450" s="94">
        <v>150044.92000000001</v>
      </c>
      <c r="J3450" s="91">
        <v>61708.66</v>
      </c>
      <c r="K3450" s="25">
        <f t="shared" si="666"/>
        <v>6998246.4199999999</v>
      </c>
      <c r="L3450" s="95">
        <f t="shared" si="667"/>
        <v>58641334</v>
      </c>
      <c r="M3450" s="20">
        <v>7210000</v>
      </c>
      <c r="N3450" s="20">
        <f>+G3450-M3450</f>
        <v>0</v>
      </c>
      <c r="P3450" s="55">
        <v>968258697</v>
      </c>
      <c r="Q3450" s="127">
        <v>44287</v>
      </c>
      <c r="R3450" s="14">
        <v>360500</v>
      </c>
      <c r="S3450" s="14">
        <v>461500</v>
      </c>
      <c r="U3450" s="185">
        <f>+U3448*12.5%</f>
        <v>3845333.3000000003</v>
      </c>
      <c r="V3450" s="21" t="s">
        <v>2769</v>
      </c>
    </row>
    <row r="3451" spans="1:24" ht="15" hidden="1" x14ac:dyDescent="0.25">
      <c r="B3451" s="89">
        <v>44355.083333333336</v>
      </c>
      <c r="C3451" s="92" t="s">
        <v>3234</v>
      </c>
      <c r="D3451" s="23"/>
      <c r="E3451" s="91">
        <v>7210000</v>
      </c>
      <c r="F3451" s="93"/>
      <c r="G3451" s="93">
        <f t="shared" si="665"/>
        <v>7210000</v>
      </c>
      <c r="H3451" s="94"/>
      <c r="I3451" s="94">
        <v>150044.92000000001</v>
      </c>
      <c r="J3451" s="91">
        <v>61708.66</v>
      </c>
      <c r="K3451" s="25">
        <f t="shared" si="666"/>
        <v>6998246.4199999999</v>
      </c>
      <c r="L3451" s="95">
        <f t="shared" si="667"/>
        <v>51431334</v>
      </c>
      <c r="M3451" s="20"/>
      <c r="N3451" s="20"/>
      <c r="P3451" s="55">
        <v>999190238</v>
      </c>
      <c r="Q3451" s="127">
        <v>44317</v>
      </c>
      <c r="R3451" s="14">
        <v>360500</v>
      </c>
      <c r="S3451" s="14">
        <v>461500</v>
      </c>
      <c r="U3451" s="99">
        <f>+U3448*16%</f>
        <v>4922026.6240000008</v>
      </c>
      <c r="V3451" s="21" t="s">
        <v>2771</v>
      </c>
    </row>
    <row r="3452" spans="1:24" ht="15" hidden="1" x14ac:dyDescent="0.25">
      <c r="B3452" s="89">
        <v>44385.083333333336</v>
      </c>
      <c r="C3452" s="92" t="s">
        <v>3235</v>
      </c>
      <c r="D3452" s="23"/>
      <c r="E3452" s="91">
        <v>7210000</v>
      </c>
      <c r="F3452" s="93"/>
      <c r="G3452" s="93">
        <f t="shared" si="665"/>
        <v>7210000</v>
      </c>
      <c r="H3452" s="94"/>
      <c r="I3452" s="94">
        <v>150044.92000000001</v>
      </c>
      <c r="J3452" s="91">
        <v>61708.66</v>
      </c>
      <c r="K3452" s="25">
        <f t="shared" si="666"/>
        <v>6998246.4199999999</v>
      </c>
      <c r="L3452" s="95">
        <f t="shared" si="667"/>
        <v>44221334</v>
      </c>
      <c r="M3452" s="20"/>
      <c r="N3452" s="20"/>
      <c r="P3452" s="55">
        <v>51389362</v>
      </c>
      <c r="Q3452" s="127">
        <v>44348</v>
      </c>
      <c r="R3452" s="14">
        <v>360500</v>
      </c>
      <c r="S3452" s="14">
        <v>461500</v>
      </c>
    </row>
    <row r="3453" spans="1:24" ht="15" hidden="1" x14ac:dyDescent="0.25">
      <c r="B3453" s="89">
        <v>44417.083333333336</v>
      </c>
      <c r="C3453" s="92" t="s">
        <v>3236</v>
      </c>
      <c r="D3453" s="23"/>
      <c r="E3453" s="91">
        <v>7210000</v>
      </c>
      <c r="F3453" s="93"/>
      <c r="G3453" s="93">
        <f t="shared" si="665"/>
        <v>7210000</v>
      </c>
      <c r="H3453" s="94"/>
      <c r="I3453" s="94">
        <v>150044.92000000001</v>
      </c>
      <c r="J3453" s="91">
        <v>61708.66</v>
      </c>
      <c r="K3453" s="25">
        <f t="shared" si="666"/>
        <v>6998246.4199999999</v>
      </c>
      <c r="L3453" s="95">
        <f t="shared" si="667"/>
        <v>37011334</v>
      </c>
      <c r="M3453" s="20"/>
      <c r="N3453" s="20"/>
      <c r="P3453" s="84">
        <v>1071782412</v>
      </c>
      <c r="Q3453" s="174">
        <v>44378</v>
      </c>
      <c r="R3453" s="125">
        <v>360500</v>
      </c>
      <c r="S3453" s="125">
        <v>461500</v>
      </c>
      <c r="W3453" s="31">
        <v>7210000</v>
      </c>
      <c r="X3453" s="131">
        <f>+E3453-W3453</f>
        <v>0</v>
      </c>
    </row>
    <row r="3454" spans="1:24" ht="15" hidden="1" x14ac:dyDescent="0.25">
      <c r="B3454" s="89">
        <v>44441.083333333336</v>
      </c>
      <c r="C3454" s="92" t="s">
        <v>3237</v>
      </c>
      <c r="D3454" s="23"/>
      <c r="E3454" s="91">
        <v>7210000</v>
      </c>
      <c r="F3454" s="93"/>
      <c r="G3454" s="93">
        <f t="shared" si="665"/>
        <v>7210000</v>
      </c>
      <c r="H3454" s="94"/>
      <c r="I3454" s="94">
        <v>150044.92000000001</v>
      </c>
      <c r="J3454" s="91">
        <v>61708.66</v>
      </c>
      <c r="K3454" s="25">
        <f t="shared" si="666"/>
        <v>6998246.4199999999</v>
      </c>
      <c r="L3454" s="95">
        <f>+L3453-G3454</f>
        <v>29801334</v>
      </c>
      <c r="M3454" s="20"/>
      <c r="N3454" s="20"/>
      <c r="P3454" s="84">
        <v>52744421</v>
      </c>
      <c r="Q3454" s="174">
        <v>44409</v>
      </c>
      <c r="R3454" s="125">
        <v>360500</v>
      </c>
      <c r="S3454" s="125">
        <v>461500</v>
      </c>
      <c r="W3454" s="31"/>
      <c r="X3454" s="131"/>
    </row>
    <row r="3455" spans="1:24" ht="15" hidden="1" x14ac:dyDescent="0.25">
      <c r="B3455" s="89">
        <v>44476.083333333336</v>
      </c>
      <c r="C3455" s="92" t="s">
        <v>3238</v>
      </c>
      <c r="D3455" s="23"/>
      <c r="E3455" s="91">
        <v>7210000</v>
      </c>
      <c r="F3455" s="93"/>
      <c r="G3455" s="93">
        <f t="shared" si="665"/>
        <v>7210000</v>
      </c>
      <c r="H3455" s="94"/>
      <c r="I3455" s="94">
        <v>150044.92000000001</v>
      </c>
      <c r="J3455" s="91">
        <v>61708.66</v>
      </c>
      <c r="K3455" s="25">
        <f t="shared" si="666"/>
        <v>6998246.4199999999</v>
      </c>
      <c r="L3455" s="95">
        <f>+L3454-G3455</f>
        <v>22591334</v>
      </c>
      <c r="M3455" s="20"/>
      <c r="N3455" s="20"/>
      <c r="P3455" s="84">
        <v>53433823</v>
      </c>
      <c r="Q3455" s="174">
        <v>44440</v>
      </c>
      <c r="R3455" s="125">
        <v>360500</v>
      </c>
      <c r="S3455" s="125">
        <v>461500</v>
      </c>
      <c r="W3455" s="31"/>
      <c r="X3455" s="131"/>
    </row>
    <row r="3456" spans="1:24" ht="15" hidden="1" x14ac:dyDescent="0.25">
      <c r="B3456" s="89">
        <v>44508.125</v>
      </c>
      <c r="C3456" s="92" t="s">
        <v>3239</v>
      </c>
      <c r="D3456" s="23"/>
      <c r="E3456" s="91">
        <v>7210000</v>
      </c>
      <c r="F3456" s="93"/>
      <c r="G3456" s="93">
        <f t="shared" si="665"/>
        <v>7210000</v>
      </c>
      <c r="H3456" s="94"/>
      <c r="I3456" s="94">
        <v>150044.92000000001</v>
      </c>
      <c r="J3456" s="91">
        <v>61708.66</v>
      </c>
      <c r="K3456" s="25">
        <f t="shared" si="666"/>
        <v>6998246.4199999999</v>
      </c>
      <c r="L3456" s="95">
        <f>+L3455-G3456</f>
        <v>15381334</v>
      </c>
      <c r="M3456" s="20"/>
      <c r="N3456" s="20"/>
      <c r="P3456" s="84">
        <v>54095008</v>
      </c>
      <c r="Q3456" s="174">
        <v>44470</v>
      </c>
      <c r="R3456" s="125">
        <v>360500</v>
      </c>
      <c r="S3456" s="125">
        <v>461500</v>
      </c>
      <c r="W3456" s="31"/>
      <c r="X3456" s="131"/>
    </row>
    <row r="3457" spans="1:24" ht="15" hidden="1" x14ac:dyDescent="0.25">
      <c r="B3457" s="89">
        <v>44536.125</v>
      </c>
      <c r="C3457" s="92" t="s">
        <v>3240</v>
      </c>
      <c r="D3457" s="23"/>
      <c r="E3457" s="91">
        <v>7210000</v>
      </c>
      <c r="F3457" s="93"/>
      <c r="G3457" s="93">
        <f t="shared" si="665"/>
        <v>7210000</v>
      </c>
      <c r="H3457" s="94"/>
      <c r="I3457" s="94">
        <v>150044.92000000001</v>
      </c>
      <c r="J3457" s="91">
        <v>61708.66</v>
      </c>
      <c r="K3457" s="25">
        <f t="shared" si="666"/>
        <v>6998246.4199999999</v>
      </c>
      <c r="L3457" s="95">
        <f>+L3456-G3457</f>
        <v>8171334</v>
      </c>
      <c r="M3457" s="20"/>
      <c r="N3457" s="20"/>
      <c r="P3457" s="84">
        <v>54785908</v>
      </c>
      <c r="Q3457" s="174">
        <v>44501</v>
      </c>
      <c r="R3457" s="125">
        <v>360500</v>
      </c>
      <c r="S3457" s="125">
        <v>461500</v>
      </c>
      <c r="W3457" s="31"/>
      <c r="X3457" s="131"/>
    </row>
    <row r="3458" spans="1:24" ht="15" hidden="1" x14ac:dyDescent="0.25">
      <c r="B3458" s="89">
        <v>44551.125</v>
      </c>
      <c r="C3458" s="92" t="s">
        <v>3241</v>
      </c>
      <c r="D3458" s="23"/>
      <c r="E3458" s="91">
        <v>7210000</v>
      </c>
      <c r="F3458" s="93"/>
      <c r="G3458" s="93">
        <f t="shared" si="665"/>
        <v>7210000</v>
      </c>
      <c r="H3458" s="94"/>
      <c r="I3458" s="94">
        <v>150044.92000000001</v>
      </c>
      <c r="J3458" s="91">
        <v>61708.66</v>
      </c>
      <c r="K3458" s="25">
        <f t="shared" si="666"/>
        <v>6998246.4199999999</v>
      </c>
      <c r="L3458" s="95">
        <f>+L3457-G3458</f>
        <v>961334</v>
      </c>
      <c r="M3458" s="20"/>
      <c r="N3458" s="20"/>
      <c r="P3458" s="84">
        <v>55311965</v>
      </c>
      <c r="Q3458" s="174">
        <v>44531</v>
      </c>
      <c r="R3458" s="125">
        <v>360500</v>
      </c>
      <c r="S3458" s="125">
        <v>461500</v>
      </c>
      <c r="W3458" s="31"/>
      <c r="X3458" s="131"/>
    </row>
    <row r="3459" spans="1:24" ht="15" hidden="1" x14ac:dyDescent="0.25">
      <c r="B3459" s="89"/>
      <c r="C3459" s="92"/>
      <c r="D3459" s="23"/>
      <c r="E3459" s="91"/>
      <c r="F3459" s="93"/>
      <c r="G3459" s="93"/>
      <c r="H3459" s="94"/>
      <c r="I3459" s="94"/>
      <c r="J3459" s="91"/>
      <c r="K3459" s="25"/>
      <c r="L3459" s="95"/>
      <c r="M3459" s="20"/>
      <c r="N3459" s="20"/>
      <c r="P3459" s="84"/>
      <c r="Q3459" s="174"/>
      <c r="R3459" s="177">
        <f>SUM(R3448:R3458)</f>
        <v>3893400</v>
      </c>
      <c r="S3459" s="178">
        <f>SUM(S3448:S3458)</f>
        <v>4984200</v>
      </c>
      <c r="W3459" s="31"/>
      <c r="X3459" s="131"/>
    </row>
    <row r="3460" spans="1:24" ht="15" hidden="1" x14ac:dyDescent="0.25">
      <c r="B3460" s="89"/>
      <c r="C3460" s="92"/>
      <c r="D3460" s="23"/>
      <c r="E3460" s="91"/>
      <c r="F3460" s="93"/>
      <c r="G3460" s="93"/>
      <c r="H3460" s="94"/>
      <c r="I3460" s="94"/>
      <c r="J3460" s="91"/>
      <c r="K3460" s="25"/>
      <c r="L3460" s="95"/>
      <c r="M3460" s="20"/>
      <c r="N3460" s="20"/>
      <c r="P3460" s="84"/>
      <c r="Q3460" s="174"/>
      <c r="R3460" s="125"/>
      <c r="S3460" s="125"/>
      <c r="W3460" s="31"/>
      <c r="X3460" s="131"/>
    </row>
    <row r="3461" spans="1:24" ht="15" hidden="1" x14ac:dyDescent="0.25">
      <c r="A3461" s="21">
        <v>2622021</v>
      </c>
      <c r="B3461" s="139" t="s">
        <v>3242</v>
      </c>
      <c r="C3461" s="140"/>
      <c r="D3461" s="141">
        <v>46067600</v>
      </c>
      <c r="E3461" s="141">
        <f>+D3461</f>
        <v>46067600</v>
      </c>
      <c r="F3461" s="141"/>
      <c r="G3461" s="141"/>
      <c r="H3461" s="141"/>
      <c r="I3461" s="141"/>
      <c r="J3461" s="141"/>
      <c r="K3461" s="141"/>
      <c r="L3461" s="141">
        <f>+D3461</f>
        <v>46067600</v>
      </c>
      <c r="M3461" s="142"/>
      <c r="N3461" s="142"/>
      <c r="O3461" s="149">
        <f>+VLOOKUP(A3461,'[1]ANEXO 7 - PPTO VIG 2021'!$H$8:$AB$160,21,)-L3472</f>
        <v>0</v>
      </c>
    </row>
    <row r="3462" spans="1:24" ht="15" hidden="1" x14ac:dyDescent="0.25">
      <c r="B3462" s="89">
        <v>44267.125</v>
      </c>
      <c r="C3462" s="92" t="s">
        <v>3243</v>
      </c>
      <c r="D3462" s="23"/>
      <c r="E3462" s="91">
        <v>2607960</v>
      </c>
      <c r="F3462" s="93"/>
      <c r="G3462" s="93">
        <f t="shared" ref="G3462:G3472" si="668">+E3462</f>
        <v>2607960</v>
      </c>
      <c r="H3462" s="94"/>
      <c r="I3462" s="94"/>
      <c r="J3462" s="91">
        <v>22320.9</v>
      </c>
      <c r="K3462" s="25">
        <f t="shared" ref="K3462:K3472" si="669">+G3462-H3462-I3462-J3462</f>
        <v>2585639.1</v>
      </c>
      <c r="L3462" s="95">
        <f t="shared" ref="L3462:L3467" si="670">+L3461-G3462</f>
        <v>43459640</v>
      </c>
      <c r="M3462" s="96"/>
      <c r="N3462" s="96"/>
      <c r="P3462" s="55">
        <v>8348781044</v>
      </c>
      <c r="Q3462" s="127">
        <v>44228</v>
      </c>
      <c r="R3462" s="14">
        <v>217400</v>
      </c>
      <c r="S3462" s="14">
        <v>278200</v>
      </c>
      <c r="T3462" s="3">
        <f>+L3461</f>
        <v>46067600</v>
      </c>
      <c r="U3462" s="3">
        <f>+T3462*40%</f>
        <v>18427040</v>
      </c>
    </row>
    <row r="3463" spans="1:24" ht="15" hidden="1" x14ac:dyDescent="0.25">
      <c r="B3463" s="89">
        <v>44300.083333333336</v>
      </c>
      <c r="C3463" s="92" t="s">
        <v>3244</v>
      </c>
      <c r="D3463" s="23"/>
      <c r="E3463" s="91">
        <v>4346600</v>
      </c>
      <c r="F3463" s="93"/>
      <c r="G3463" s="93">
        <f t="shared" si="668"/>
        <v>4346600</v>
      </c>
      <c r="H3463" s="94"/>
      <c r="I3463" s="94"/>
      <c r="J3463" s="91">
        <v>37201.51</v>
      </c>
      <c r="K3463" s="25">
        <f t="shared" si="669"/>
        <v>4309398.49</v>
      </c>
      <c r="L3463" s="95">
        <f t="shared" si="670"/>
        <v>39113040</v>
      </c>
      <c r="M3463" s="96"/>
      <c r="N3463" s="96"/>
      <c r="P3463" s="55">
        <v>49784073</v>
      </c>
      <c r="Q3463" s="127">
        <v>44256</v>
      </c>
      <c r="R3463" s="14">
        <v>217400</v>
      </c>
      <c r="S3463" s="14">
        <v>278200</v>
      </c>
      <c r="U3463" s="3"/>
    </row>
    <row r="3464" spans="1:24" ht="15" hidden="1" x14ac:dyDescent="0.25">
      <c r="B3464" s="89">
        <v>44322.083333333336</v>
      </c>
      <c r="C3464" s="92" t="s">
        <v>3245</v>
      </c>
      <c r="D3464" s="23"/>
      <c r="E3464" s="91">
        <v>4346600</v>
      </c>
      <c r="F3464" s="93"/>
      <c r="G3464" s="93">
        <f t="shared" si="668"/>
        <v>4346600</v>
      </c>
      <c r="H3464" s="94"/>
      <c r="I3464" s="94"/>
      <c r="J3464" s="91">
        <v>37201.51</v>
      </c>
      <c r="K3464" s="25">
        <f t="shared" si="669"/>
        <v>4309398.49</v>
      </c>
      <c r="L3464" s="95">
        <f t="shared" si="670"/>
        <v>34766440</v>
      </c>
      <c r="M3464" s="20">
        <v>4346600</v>
      </c>
      <c r="N3464" s="20">
        <f>+G3464-M3464</f>
        <v>0</v>
      </c>
      <c r="P3464" s="21">
        <v>50664737</v>
      </c>
      <c r="Q3464" s="98">
        <v>44287</v>
      </c>
      <c r="R3464" s="3">
        <v>217400</v>
      </c>
      <c r="S3464" s="3">
        <v>278200</v>
      </c>
      <c r="U3464" s="3">
        <f>+U3462*12.5%</f>
        <v>2303380</v>
      </c>
      <c r="V3464" s="173" t="s">
        <v>2769</v>
      </c>
    </row>
    <row r="3465" spans="1:24" ht="15" hidden="1" x14ac:dyDescent="0.25">
      <c r="B3465" s="89">
        <v>44355.083333333336</v>
      </c>
      <c r="C3465" s="92" t="s">
        <v>3246</v>
      </c>
      <c r="D3465" s="23"/>
      <c r="E3465" s="91">
        <v>4346600</v>
      </c>
      <c r="F3465" s="93"/>
      <c r="G3465" s="93">
        <f t="shared" si="668"/>
        <v>4346600</v>
      </c>
      <c r="H3465" s="94"/>
      <c r="I3465" s="94"/>
      <c r="J3465" s="91">
        <v>37201.51</v>
      </c>
      <c r="K3465" s="25">
        <f t="shared" si="669"/>
        <v>4309398.49</v>
      </c>
      <c r="L3465" s="95">
        <f t="shared" si="670"/>
        <v>30419840</v>
      </c>
      <c r="M3465" s="20"/>
      <c r="N3465" s="20"/>
      <c r="P3465" s="21">
        <v>55665024</v>
      </c>
      <c r="Q3465" s="98">
        <v>44317</v>
      </c>
      <c r="R3465" s="3">
        <v>217400</v>
      </c>
      <c r="S3465" s="3">
        <v>278200</v>
      </c>
      <c r="U3465" s="3">
        <f>+U3462*16%</f>
        <v>2948326.4</v>
      </c>
      <c r="V3465" s="172" t="s">
        <v>2771</v>
      </c>
    </row>
    <row r="3466" spans="1:24" ht="15" hidden="1" x14ac:dyDescent="0.25">
      <c r="B3466" s="89">
        <v>44385.083333333336</v>
      </c>
      <c r="C3466" s="92" t="s">
        <v>3247</v>
      </c>
      <c r="D3466" s="23"/>
      <c r="E3466" s="91">
        <v>4346600</v>
      </c>
      <c r="F3466" s="93"/>
      <c r="G3466" s="93">
        <f t="shared" si="668"/>
        <v>4346600</v>
      </c>
      <c r="H3466" s="94"/>
      <c r="I3466" s="94"/>
      <c r="J3466" s="91">
        <v>37201.51</v>
      </c>
      <c r="K3466" s="25">
        <f t="shared" si="669"/>
        <v>4309398.49</v>
      </c>
      <c r="L3466" s="95">
        <f t="shared" si="670"/>
        <v>26073240</v>
      </c>
      <c r="M3466" s="20"/>
      <c r="N3466" s="20"/>
      <c r="P3466" s="21">
        <v>51495116</v>
      </c>
      <c r="Q3466" s="98">
        <v>44348</v>
      </c>
      <c r="R3466" s="3">
        <v>217400</v>
      </c>
      <c r="S3466" s="3">
        <v>278200</v>
      </c>
    </row>
    <row r="3467" spans="1:24" ht="15" hidden="1" x14ac:dyDescent="0.25">
      <c r="B3467" s="89">
        <v>44417.083333333336</v>
      </c>
      <c r="C3467" s="92" t="s">
        <v>3248</v>
      </c>
      <c r="D3467" s="23"/>
      <c r="E3467" s="91">
        <v>4346600</v>
      </c>
      <c r="F3467" s="93"/>
      <c r="G3467" s="93">
        <f t="shared" si="668"/>
        <v>4346600</v>
      </c>
      <c r="H3467" s="94"/>
      <c r="I3467" s="94"/>
      <c r="J3467" s="91">
        <v>37201.51</v>
      </c>
      <c r="K3467" s="25">
        <f t="shared" si="669"/>
        <v>4309398.49</v>
      </c>
      <c r="L3467" s="95">
        <f t="shared" si="670"/>
        <v>21726640</v>
      </c>
      <c r="M3467" s="20"/>
      <c r="N3467" s="20"/>
      <c r="P3467" s="21">
        <v>52193279</v>
      </c>
      <c r="Q3467" s="98">
        <v>44378</v>
      </c>
      <c r="R3467" s="3">
        <v>217400</v>
      </c>
      <c r="S3467" s="3">
        <v>278200</v>
      </c>
      <c r="W3467" s="31">
        <v>4346600</v>
      </c>
      <c r="X3467" s="131">
        <f>+E3467-W3467</f>
        <v>0</v>
      </c>
    </row>
    <row r="3468" spans="1:24" ht="15" hidden="1" x14ac:dyDescent="0.25">
      <c r="B3468" s="89">
        <v>44441.083333333336</v>
      </c>
      <c r="C3468" s="92" t="s">
        <v>3249</v>
      </c>
      <c r="D3468" s="23"/>
      <c r="E3468" s="91">
        <v>4346600</v>
      </c>
      <c r="F3468" s="93"/>
      <c r="G3468" s="93">
        <f t="shared" si="668"/>
        <v>4346600</v>
      </c>
      <c r="H3468" s="94"/>
      <c r="I3468" s="94"/>
      <c r="J3468" s="91">
        <v>41988.160000000003</v>
      </c>
      <c r="K3468" s="25">
        <f t="shared" si="669"/>
        <v>4304611.84</v>
      </c>
      <c r="L3468" s="95">
        <f>+L3467-G3468</f>
        <v>17380040</v>
      </c>
      <c r="M3468" s="20"/>
      <c r="N3468" s="20"/>
      <c r="P3468" s="21">
        <v>55664812</v>
      </c>
      <c r="Q3468" s="98">
        <v>44409</v>
      </c>
      <c r="R3468" s="3">
        <v>217400</v>
      </c>
      <c r="S3468" s="3">
        <v>278200</v>
      </c>
      <c r="U3468" s="179">
        <f>+U3464-R3473</f>
        <v>-88020</v>
      </c>
      <c r="W3468" s="31"/>
      <c r="X3468" s="131"/>
    </row>
    <row r="3469" spans="1:24" ht="15" hidden="1" x14ac:dyDescent="0.25">
      <c r="B3469" s="89">
        <v>44482.083333333336</v>
      </c>
      <c r="C3469" s="92" t="s">
        <v>3250</v>
      </c>
      <c r="D3469" s="23"/>
      <c r="E3469" s="91">
        <v>4346600</v>
      </c>
      <c r="F3469" s="93"/>
      <c r="G3469" s="93">
        <f t="shared" si="668"/>
        <v>4346600</v>
      </c>
      <c r="H3469" s="94"/>
      <c r="I3469" s="94"/>
      <c r="J3469" s="91">
        <v>37201.51</v>
      </c>
      <c r="K3469" s="25">
        <f t="shared" si="669"/>
        <v>4309398.49</v>
      </c>
      <c r="L3469" s="95">
        <f>+L3468-G3469</f>
        <v>13033440</v>
      </c>
      <c r="M3469" s="20"/>
      <c r="N3469" s="20"/>
      <c r="P3469" s="21">
        <v>53281422</v>
      </c>
      <c r="Q3469" s="98">
        <v>44440</v>
      </c>
      <c r="R3469" s="3">
        <v>217400</v>
      </c>
      <c r="S3469" s="3">
        <v>278200</v>
      </c>
      <c r="T3469" s="3" t="s">
        <v>1</v>
      </c>
      <c r="U3469" s="179">
        <f>+U3465-S3473</f>
        <v>-111873.60000000009</v>
      </c>
      <c r="W3469" s="31"/>
      <c r="X3469" s="131"/>
    </row>
    <row r="3470" spans="1:24" ht="15" hidden="1" x14ac:dyDescent="0.25">
      <c r="B3470" s="89">
        <v>44508.125</v>
      </c>
      <c r="C3470" s="92" t="s">
        <v>3251</v>
      </c>
      <c r="D3470" s="23"/>
      <c r="E3470" s="91">
        <v>4346600</v>
      </c>
      <c r="F3470" s="93"/>
      <c r="G3470" s="93">
        <f t="shared" si="668"/>
        <v>4346600</v>
      </c>
      <c r="H3470" s="94"/>
      <c r="I3470" s="94"/>
      <c r="J3470" s="91">
        <v>41988.160000000003</v>
      </c>
      <c r="K3470" s="25">
        <f t="shared" si="669"/>
        <v>4304611.84</v>
      </c>
      <c r="L3470" s="95">
        <f>+L3469-G3470</f>
        <v>8686840</v>
      </c>
      <c r="M3470" s="20"/>
      <c r="N3470" s="20"/>
      <c r="P3470" s="21">
        <v>55664345</v>
      </c>
      <c r="Q3470" s="98">
        <v>44470</v>
      </c>
      <c r="R3470" s="3">
        <v>217400</v>
      </c>
      <c r="S3470" s="3">
        <v>278200</v>
      </c>
      <c r="W3470" s="31"/>
      <c r="X3470" s="131"/>
    </row>
    <row r="3471" spans="1:24" ht="15" hidden="1" x14ac:dyDescent="0.25">
      <c r="B3471" s="89">
        <v>44536.125</v>
      </c>
      <c r="C3471" s="92" t="s">
        <v>3252</v>
      </c>
      <c r="D3471" s="23"/>
      <c r="E3471" s="91">
        <v>4346600</v>
      </c>
      <c r="F3471" s="93"/>
      <c r="G3471" s="93">
        <f t="shared" si="668"/>
        <v>4346600</v>
      </c>
      <c r="H3471" s="94"/>
      <c r="I3471" s="94"/>
      <c r="J3471" s="91">
        <v>37201.51</v>
      </c>
      <c r="K3471" s="25">
        <f t="shared" si="669"/>
        <v>4309398.49</v>
      </c>
      <c r="L3471" s="95">
        <f>+L3470-G3471</f>
        <v>4340240</v>
      </c>
      <c r="M3471" s="20"/>
      <c r="N3471" s="20"/>
      <c r="P3471" s="21">
        <v>54878740</v>
      </c>
      <c r="Q3471" s="98">
        <v>44501</v>
      </c>
      <c r="R3471" s="3">
        <v>217400</v>
      </c>
      <c r="S3471" s="3">
        <v>278200</v>
      </c>
      <c r="W3471" s="31"/>
      <c r="X3471" s="131"/>
    </row>
    <row r="3472" spans="1:24" ht="15" hidden="1" x14ac:dyDescent="0.25">
      <c r="B3472" s="89">
        <v>44560.125</v>
      </c>
      <c r="C3472" s="92" t="s">
        <v>3253</v>
      </c>
      <c r="D3472" s="23"/>
      <c r="E3472" s="91">
        <v>4340240</v>
      </c>
      <c r="F3472" s="93"/>
      <c r="G3472" s="93">
        <f t="shared" si="668"/>
        <v>4340240</v>
      </c>
      <c r="H3472" s="94"/>
      <c r="I3472" s="94"/>
      <c r="J3472" s="91">
        <v>37147.07</v>
      </c>
      <c r="K3472" s="25">
        <f t="shared" si="669"/>
        <v>4303092.93</v>
      </c>
      <c r="L3472" s="95">
        <f>+L3471-G3472</f>
        <v>0</v>
      </c>
      <c r="M3472" s="20"/>
      <c r="N3472" s="20"/>
      <c r="P3472" s="21">
        <v>55319336</v>
      </c>
      <c r="Q3472" s="98">
        <v>44531</v>
      </c>
      <c r="R3472" s="3">
        <v>217400</v>
      </c>
      <c r="S3472" s="3">
        <v>278200</v>
      </c>
      <c r="W3472" s="31"/>
      <c r="X3472" s="131"/>
    </row>
    <row r="3473" spans="1:24" ht="15" hidden="1" x14ac:dyDescent="0.25">
      <c r="B3473" s="89"/>
      <c r="C3473" s="92"/>
      <c r="D3473" s="23"/>
      <c r="E3473" s="91"/>
      <c r="F3473" s="93"/>
      <c r="G3473" s="93"/>
      <c r="H3473" s="94"/>
      <c r="I3473" s="94"/>
      <c r="J3473" s="91"/>
      <c r="K3473" s="25"/>
      <c r="L3473" s="95"/>
      <c r="M3473" s="20"/>
      <c r="N3473" s="20"/>
      <c r="P3473" s="186"/>
      <c r="Q3473" s="187"/>
      <c r="R3473" s="177">
        <f>SUM(R3462:R3472)</f>
        <v>2391400</v>
      </c>
      <c r="S3473" s="178">
        <f>SUM(S3462:S3472)</f>
        <v>3060200</v>
      </c>
      <c r="W3473" s="31"/>
      <c r="X3473" s="131"/>
    </row>
    <row r="3474" spans="1:24" ht="15" hidden="1" x14ac:dyDescent="0.25">
      <c r="A3474" s="21">
        <v>2252021</v>
      </c>
      <c r="B3474" s="139" t="s">
        <v>3254</v>
      </c>
      <c r="C3474" s="140"/>
      <c r="D3474" s="141">
        <v>66000000</v>
      </c>
      <c r="E3474" s="141">
        <f>+D3474</f>
        <v>66000000</v>
      </c>
      <c r="F3474" s="141"/>
      <c r="G3474" s="188"/>
      <c r="H3474" s="141"/>
      <c r="I3474" s="141"/>
      <c r="J3474" s="141"/>
      <c r="K3474" s="141"/>
      <c r="L3474" s="141">
        <f>+D3474</f>
        <v>66000000</v>
      </c>
      <c r="M3474" s="142"/>
      <c r="N3474" s="142"/>
      <c r="O3474" s="149">
        <f>+VLOOKUP(A3474,'[1]ANEXO 7 - PPTO VIG 2021'!$H$8:$AB$160,21,)-L3485</f>
        <v>-2000000</v>
      </c>
      <c r="R3474" s="21"/>
      <c r="S3474" s="21"/>
    </row>
    <row r="3475" spans="1:24" ht="15" hidden="1" x14ac:dyDescent="0.25">
      <c r="B3475" s="89">
        <v>44266.125</v>
      </c>
      <c r="C3475" s="92" t="s">
        <v>3255</v>
      </c>
      <c r="D3475" s="23"/>
      <c r="E3475" s="91">
        <v>4000000</v>
      </c>
      <c r="F3475" s="93"/>
      <c r="G3475" s="93">
        <f t="shared" ref="G3475:G3485" si="671">+E3475</f>
        <v>4000000</v>
      </c>
      <c r="H3475" s="94"/>
      <c r="I3475" s="94"/>
      <c r="J3475" s="91">
        <v>38640</v>
      </c>
      <c r="K3475" s="25">
        <f t="shared" ref="K3475:K3485" si="672">+G3475-H3475-I3475-J3475</f>
        <v>3961360</v>
      </c>
      <c r="L3475" s="95">
        <f t="shared" ref="L3475:L3480" si="673">+L3474-G3475</f>
        <v>62000000</v>
      </c>
      <c r="M3475" s="96"/>
      <c r="N3475" s="96"/>
      <c r="P3475" s="247" t="s">
        <v>3133</v>
      </c>
      <c r="Q3475" s="247"/>
      <c r="R3475" s="247"/>
      <c r="S3475" s="247"/>
      <c r="T3475" s="3">
        <f>+L3474-2000000</f>
        <v>64000000</v>
      </c>
      <c r="U3475" s="3">
        <f>+T3475*40%</f>
        <v>25600000</v>
      </c>
    </row>
    <row r="3476" spans="1:24" ht="15" hidden="1" x14ac:dyDescent="0.25">
      <c r="B3476" s="89">
        <v>44293.083333333336</v>
      </c>
      <c r="C3476" s="92" t="s">
        <v>3256</v>
      </c>
      <c r="D3476" s="23"/>
      <c r="E3476" s="91">
        <v>6000000</v>
      </c>
      <c r="F3476" s="93"/>
      <c r="G3476" s="93">
        <f t="shared" si="671"/>
        <v>6000000</v>
      </c>
      <c r="H3476" s="94"/>
      <c r="I3476" s="91">
        <v>14875.1</v>
      </c>
      <c r="J3476" s="91">
        <v>51352.56</v>
      </c>
      <c r="K3476" s="25">
        <f t="shared" si="672"/>
        <v>5933772.3400000008</v>
      </c>
      <c r="L3476" s="95">
        <f t="shared" si="673"/>
        <v>56000000</v>
      </c>
      <c r="M3476" s="96"/>
      <c r="N3476" s="96"/>
      <c r="P3476" s="55">
        <v>49577467</v>
      </c>
      <c r="Q3476" s="127">
        <v>44228</v>
      </c>
      <c r="R3476" s="14">
        <v>300000</v>
      </c>
      <c r="S3476" s="14">
        <v>384000</v>
      </c>
      <c r="U3476" s="3"/>
    </row>
    <row r="3477" spans="1:24" ht="15" hidden="1" x14ac:dyDescent="0.25">
      <c r="B3477" s="89">
        <v>44321.083333333336</v>
      </c>
      <c r="C3477" s="92" t="s">
        <v>3257</v>
      </c>
      <c r="D3477" s="23"/>
      <c r="E3477" s="91">
        <v>6000000</v>
      </c>
      <c r="F3477" s="93"/>
      <c r="G3477" s="93">
        <f t="shared" si="671"/>
        <v>6000000</v>
      </c>
      <c r="H3477" s="94"/>
      <c r="I3477" s="94">
        <v>14875.1</v>
      </c>
      <c r="J3477" s="91">
        <v>51352.56</v>
      </c>
      <c r="K3477" s="25">
        <f t="shared" si="672"/>
        <v>5933772.3400000008</v>
      </c>
      <c r="L3477" s="95">
        <f t="shared" si="673"/>
        <v>50000000</v>
      </c>
      <c r="M3477" s="20">
        <v>6000000</v>
      </c>
      <c r="N3477" s="20">
        <f>+G3477-M3477</f>
        <v>0</v>
      </c>
      <c r="P3477" s="21">
        <v>49577528</v>
      </c>
      <c r="Q3477" s="98">
        <v>44256</v>
      </c>
      <c r="R3477" s="3">
        <v>300000</v>
      </c>
      <c r="S3477" s="3">
        <v>384000</v>
      </c>
      <c r="U3477" s="3">
        <f>+U3475*12.5%</f>
        <v>3200000</v>
      </c>
      <c r="V3477" s="173" t="s">
        <v>2769</v>
      </c>
    </row>
    <row r="3478" spans="1:24" ht="15" hidden="1" x14ac:dyDescent="0.25">
      <c r="B3478" s="89">
        <v>44350.083333333336</v>
      </c>
      <c r="C3478" s="92" t="s">
        <v>3258</v>
      </c>
      <c r="D3478" s="23"/>
      <c r="E3478" s="91">
        <v>6000000</v>
      </c>
      <c r="F3478" s="93"/>
      <c r="G3478" s="93">
        <f t="shared" si="671"/>
        <v>6000000</v>
      </c>
      <c r="H3478" s="94"/>
      <c r="I3478" s="94">
        <v>14875.1</v>
      </c>
      <c r="J3478" s="91">
        <v>51352.56</v>
      </c>
      <c r="K3478" s="25">
        <f t="shared" si="672"/>
        <v>5933772.3400000008</v>
      </c>
      <c r="L3478" s="95">
        <f t="shared" si="673"/>
        <v>44000000</v>
      </c>
      <c r="M3478" s="20"/>
      <c r="N3478" s="20"/>
      <c r="P3478" s="21">
        <v>50271723</v>
      </c>
      <c r="Q3478" s="98">
        <v>44287</v>
      </c>
      <c r="R3478" s="3">
        <v>300000</v>
      </c>
      <c r="S3478" s="3">
        <v>384000</v>
      </c>
      <c r="U3478" s="3">
        <f>+U3475*16%</f>
        <v>4096000</v>
      </c>
      <c r="V3478" s="172" t="s">
        <v>2771</v>
      </c>
    </row>
    <row r="3479" spans="1:24" ht="15" hidden="1" x14ac:dyDescent="0.25">
      <c r="B3479" s="89">
        <v>44379.083333333336</v>
      </c>
      <c r="C3479" s="92" t="s">
        <v>3259</v>
      </c>
      <c r="D3479" s="23"/>
      <c r="E3479" s="91">
        <v>6000000</v>
      </c>
      <c r="F3479" s="93"/>
      <c r="G3479" s="93">
        <f t="shared" si="671"/>
        <v>6000000</v>
      </c>
      <c r="H3479" s="94"/>
      <c r="I3479" s="94">
        <v>14875.1</v>
      </c>
      <c r="J3479" s="91">
        <v>51352.56</v>
      </c>
      <c r="K3479" s="25">
        <f t="shared" si="672"/>
        <v>5933772.3400000008</v>
      </c>
      <c r="L3479" s="95">
        <f t="shared" si="673"/>
        <v>38000000</v>
      </c>
      <c r="M3479" s="20"/>
      <c r="N3479" s="20"/>
      <c r="P3479" s="21">
        <v>1018664642</v>
      </c>
      <c r="Q3479" s="98">
        <v>44317</v>
      </c>
      <c r="R3479" s="3">
        <v>300000</v>
      </c>
      <c r="S3479" s="3">
        <v>384000</v>
      </c>
    </row>
    <row r="3480" spans="1:24" ht="15" hidden="1" x14ac:dyDescent="0.25">
      <c r="B3480" s="89">
        <v>44411.083333333336</v>
      </c>
      <c r="C3480" s="92" t="s">
        <v>3260</v>
      </c>
      <c r="D3480" s="23"/>
      <c r="E3480" s="91">
        <v>6000000</v>
      </c>
      <c r="F3480" s="93"/>
      <c r="G3480" s="93">
        <f t="shared" si="671"/>
        <v>6000000</v>
      </c>
      <c r="H3480" s="94"/>
      <c r="I3480" s="94">
        <v>14875.1</v>
      </c>
      <c r="J3480" s="91">
        <v>51352.56</v>
      </c>
      <c r="K3480" s="25">
        <f t="shared" si="672"/>
        <v>5933772.3400000008</v>
      </c>
      <c r="L3480" s="95">
        <f t="shared" si="673"/>
        <v>32000000</v>
      </c>
      <c r="M3480" s="20"/>
      <c r="N3480" s="20"/>
      <c r="P3480" s="21">
        <v>51604381</v>
      </c>
      <c r="Q3480" s="98">
        <v>44348</v>
      </c>
      <c r="R3480" s="3">
        <v>300000</v>
      </c>
      <c r="S3480" s="3">
        <v>384000</v>
      </c>
      <c r="W3480" s="31" t="e">
        <v>#N/A</v>
      </c>
      <c r="X3480" s="131" t="e">
        <f>+E3480-W3480</f>
        <v>#N/A</v>
      </c>
    </row>
    <row r="3481" spans="1:24" ht="15" hidden="1" x14ac:dyDescent="0.25">
      <c r="B3481" s="89">
        <v>44441.083333333336</v>
      </c>
      <c r="C3481" s="92" t="s">
        <v>3261</v>
      </c>
      <c r="D3481" s="23"/>
      <c r="E3481" s="91">
        <v>6000000</v>
      </c>
      <c r="F3481" s="93"/>
      <c r="G3481" s="93">
        <f t="shared" si="671"/>
        <v>6000000</v>
      </c>
      <c r="H3481" s="94"/>
      <c r="I3481" s="94">
        <v>14875.1</v>
      </c>
      <c r="J3481" s="91">
        <v>51352.56</v>
      </c>
      <c r="K3481" s="25">
        <f t="shared" si="672"/>
        <v>5933772.3400000008</v>
      </c>
      <c r="L3481" s="95">
        <f>+L3480-G3481</f>
        <v>26000000</v>
      </c>
      <c r="M3481" s="20"/>
      <c r="N3481" s="20"/>
      <c r="P3481" s="21">
        <v>52273351</v>
      </c>
      <c r="Q3481" s="98">
        <v>44378</v>
      </c>
      <c r="R3481" s="3">
        <v>300000</v>
      </c>
      <c r="S3481" s="3">
        <v>384000</v>
      </c>
      <c r="W3481" s="31"/>
      <c r="X3481" s="131"/>
    </row>
    <row r="3482" spans="1:24" ht="15" hidden="1" x14ac:dyDescent="0.25">
      <c r="B3482" s="89">
        <v>44474.083333333336</v>
      </c>
      <c r="C3482" s="92" t="s">
        <v>3262</v>
      </c>
      <c r="D3482" s="23"/>
      <c r="E3482" s="91">
        <v>6000000</v>
      </c>
      <c r="F3482" s="93"/>
      <c r="G3482" s="93">
        <f t="shared" si="671"/>
        <v>6000000</v>
      </c>
      <c r="H3482" s="94"/>
      <c r="I3482" s="94">
        <v>14875.1</v>
      </c>
      <c r="J3482" s="91">
        <v>51352.56</v>
      </c>
      <c r="K3482" s="25">
        <f t="shared" si="672"/>
        <v>5933772.3400000008</v>
      </c>
      <c r="L3482" s="95">
        <f>+L3481-G3482</f>
        <v>20000000</v>
      </c>
      <c r="M3482" s="20"/>
      <c r="N3482" s="20"/>
      <c r="P3482" s="21">
        <v>52959990</v>
      </c>
      <c r="Q3482" s="98">
        <v>44409</v>
      </c>
      <c r="R3482" s="3">
        <v>300000</v>
      </c>
      <c r="S3482" s="3">
        <v>384000</v>
      </c>
      <c r="W3482" s="31"/>
      <c r="X3482" s="131"/>
    </row>
    <row r="3483" spans="1:24" ht="15" hidden="1" x14ac:dyDescent="0.25">
      <c r="B3483" s="89">
        <v>44504.083333333336</v>
      </c>
      <c r="C3483" s="92" t="s">
        <v>3263</v>
      </c>
      <c r="D3483" s="23"/>
      <c r="E3483" s="91">
        <v>6000000</v>
      </c>
      <c r="F3483" s="93"/>
      <c r="G3483" s="93">
        <f t="shared" si="671"/>
        <v>6000000</v>
      </c>
      <c r="H3483" s="94"/>
      <c r="I3483" s="94">
        <v>14875.1</v>
      </c>
      <c r="J3483" s="91">
        <v>51352.56</v>
      </c>
      <c r="K3483" s="25">
        <f t="shared" si="672"/>
        <v>5933772.3400000008</v>
      </c>
      <c r="L3483" s="95">
        <f>+L3482-G3483</f>
        <v>14000000</v>
      </c>
      <c r="M3483" s="20"/>
      <c r="N3483" s="20"/>
      <c r="P3483" s="21">
        <v>53648110</v>
      </c>
      <c r="Q3483" s="98">
        <v>44440</v>
      </c>
      <c r="R3483" s="3">
        <v>300000</v>
      </c>
      <c r="S3483" s="3">
        <v>384000</v>
      </c>
      <c r="W3483" s="31"/>
      <c r="X3483" s="131"/>
    </row>
    <row r="3484" spans="1:24" ht="15" hidden="1" x14ac:dyDescent="0.25">
      <c r="B3484" s="89">
        <v>44536.125</v>
      </c>
      <c r="C3484" s="92" t="s">
        <v>3264</v>
      </c>
      <c r="D3484" s="23"/>
      <c r="E3484" s="91">
        <v>6000000</v>
      </c>
      <c r="F3484" s="93"/>
      <c r="G3484" s="93">
        <f t="shared" si="671"/>
        <v>6000000</v>
      </c>
      <c r="H3484" s="94"/>
      <c r="I3484" s="94">
        <v>14875.1</v>
      </c>
      <c r="J3484" s="91">
        <v>51352.56</v>
      </c>
      <c r="K3484" s="25">
        <f t="shared" si="672"/>
        <v>5933772.3400000008</v>
      </c>
      <c r="L3484" s="95">
        <f>+L3483-G3484</f>
        <v>8000000</v>
      </c>
      <c r="M3484" s="20"/>
      <c r="N3484" s="20"/>
      <c r="P3484" s="21">
        <v>54311103</v>
      </c>
      <c r="Q3484" s="98">
        <v>44470</v>
      </c>
      <c r="R3484" s="3">
        <v>300000</v>
      </c>
      <c r="S3484" s="3">
        <v>384000</v>
      </c>
      <c r="W3484" s="31"/>
      <c r="X3484" s="131"/>
    </row>
    <row r="3485" spans="1:24" ht="15" hidden="1" x14ac:dyDescent="0.25">
      <c r="B3485" s="89">
        <v>44559.125</v>
      </c>
      <c r="C3485" s="92" t="s">
        <v>3265</v>
      </c>
      <c r="D3485" s="23"/>
      <c r="E3485" s="91">
        <v>6000000</v>
      </c>
      <c r="F3485" s="93"/>
      <c r="G3485" s="93">
        <f t="shared" si="671"/>
        <v>6000000</v>
      </c>
      <c r="H3485" s="94"/>
      <c r="I3485" s="94">
        <v>14875.1</v>
      </c>
      <c r="J3485" s="91">
        <v>51352.56</v>
      </c>
      <c r="K3485" s="25">
        <f t="shared" si="672"/>
        <v>5933772.3400000008</v>
      </c>
      <c r="L3485" s="95">
        <f>+L3484-G3485</f>
        <v>2000000</v>
      </c>
      <c r="M3485" s="20"/>
      <c r="N3485" s="20"/>
      <c r="P3485" s="21">
        <v>55014205</v>
      </c>
      <c r="Q3485" s="98">
        <v>44501</v>
      </c>
      <c r="R3485" s="3">
        <v>300000</v>
      </c>
      <c r="S3485" s="3">
        <v>384000</v>
      </c>
      <c r="W3485" s="31"/>
      <c r="X3485" s="131"/>
    </row>
    <row r="3486" spans="1:24" ht="15" hidden="1" x14ac:dyDescent="0.25">
      <c r="B3486" s="89"/>
      <c r="C3486" s="92"/>
      <c r="D3486" s="23"/>
      <c r="E3486" s="91"/>
      <c r="F3486" s="93"/>
      <c r="G3486" s="93"/>
      <c r="H3486" s="94"/>
      <c r="I3486" s="94"/>
      <c r="J3486" s="91"/>
      <c r="K3486" s="25"/>
      <c r="L3486" s="95"/>
      <c r="M3486" s="20"/>
      <c r="N3486" s="20"/>
      <c r="P3486" s="21">
        <v>55545567</v>
      </c>
      <c r="Q3486" s="98">
        <v>44531</v>
      </c>
      <c r="R3486" s="3">
        <v>300000</v>
      </c>
      <c r="S3486" s="3">
        <v>384000</v>
      </c>
      <c r="W3486" s="31"/>
      <c r="X3486" s="131"/>
    </row>
    <row r="3487" spans="1:24" ht="15" hidden="1" x14ac:dyDescent="0.25">
      <c r="B3487" s="89"/>
      <c r="C3487" s="92"/>
      <c r="D3487" s="23"/>
      <c r="E3487" s="91"/>
      <c r="F3487" s="93"/>
      <c r="G3487" s="93"/>
      <c r="H3487" s="94"/>
      <c r="I3487" s="94"/>
      <c r="J3487" s="91"/>
      <c r="K3487" s="25"/>
      <c r="L3487" s="95"/>
      <c r="M3487" s="20"/>
      <c r="N3487" s="20"/>
      <c r="Q3487" s="98"/>
      <c r="R3487" s="99">
        <f>SUM(R3476:R3486)</f>
        <v>3300000</v>
      </c>
      <c r="S3487" s="185">
        <f>SUM(S3476:S3486)</f>
        <v>4224000</v>
      </c>
      <c r="W3487" s="31"/>
      <c r="X3487" s="131"/>
    </row>
    <row r="3488" spans="1:24" ht="15" hidden="1" x14ac:dyDescent="0.25">
      <c r="A3488" s="21">
        <v>2702021</v>
      </c>
      <c r="B3488" s="139" t="s">
        <v>3266</v>
      </c>
      <c r="C3488" s="140"/>
      <c r="D3488" s="141">
        <v>68556800</v>
      </c>
      <c r="E3488" s="141">
        <f>+D3488</f>
        <v>68556800</v>
      </c>
      <c r="F3488" s="141"/>
      <c r="G3488" s="141"/>
      <c r="H3488" s="141"/>
      <c r="I3488" s="141"/>
      <c r="J3488" s="141"/>
      <c r="K3488" s="141"/>
      <c r="L3488" s="141">
        <f>+D3488</f>
        <v>68556800</v>
      </c>
      <c r="M3488" s="142"/>
      <c r="N3488" s="142"/>
      <c r="O3488" s="149">
        <f>+VLOOKUP(A3488,'[1]ANEXO 7 - PPTO VIG 2021'!$H$8:$AB$160,21,)-L3499</f>
        <v>-642720</v>
      </c>
    </row>
    <row r="3489" spans="1:24" ht="15" hidden="1" x14ac:dyDescent="0.25">
      <c r="B3489" s="89">
        <v>44272.083333333336</v>
      </c>
      <c r="C3489" s="92" t="s">
        <v>3267</v>
      </c>
      <c r="D3489" s="23"/>
      <c r="E3489" s="91">
        <v>3642080</v>
      </c>
      <c r="F3489" s="93"/>
      <c r="G3489" s="93">
        <f t="shared" ref="G3489:G3499" si="674">+E3489</f>
        <v>3642080</v>
      </c>
      <c r="H3489" s="94"/>
      <c r="I3489" s="94"/>
      <c r="J3489" s="91">
        <v>31171.69</v>
      </c>
      <c r="K3489" s="25">
        <f t="shared" ref="K3489:K3499" si="675">+G3489-H3489-I3489-J3489</f>
        <v>3610908.31</v>
      </c>
      <c r="L3489" s="95">
        <f t="shared" ref="L3489:L3494" si="676">+L3488-G3489</f>
        <v>64914720</v>
      </c>
      <c r="M3489" s="96"/>
      <c r="N3489" s="96"/>
      <c r="P3489" s="21">
        <v>4894473</v>
      </c>
      <c r="Q3489" s="127">
        <v>44228</v>
      </c>
      <c r="R3489" s="14">
        <v>212500</v>
      </c>
      <c r="S3489" s="14">
        <v>272000</v>
      </c>
      <c r="T3489" s="3">
        <f>+L3488-642720</f>
        <v>67914080</v>
      </c>
      <c r="U3489" s="3">
        <f>+T3489*40%</f>
        <v>27165632</v>
      </c>
    </row>
    <row r="3490" spans="1:24" ht="15" hidden="1" x14ac:dyDescent="0.25">
      <c r="B3490" s="89">
        <v>44301.083333333336</v>
      </c>
      <c r="C3490" s="92" t="s">
        <v>3268</v>
      </c>
      <c r="D3490" s="23"/>
      <c r="E3490" s="91">
        <v>6427200</v>
      </c>
      <c r="F3490" s="93"/>
      <c r="G3490" s="93">
        <f t="shared" si="674"/>
        <v>6427200</v>
      </c>
      <c r="H3490" s="94"/>
      <c r="I3490" s="91">
        <v>62595.39</v>
      </c>
      <c r="J3490" s="91">
        <v>55008.86</v>
      </c>
      <c r="K3490" s="25">
        <f t="shared" si="675"/>
        <v>6309595.75</v>
      </c>
      <c r="L3490" s="95">
        <f t="shared" si="676"/>
        <v>58487520</v>
      </c>
      <c r="M3490" s="96"/>
      <c r="N3490" s="96"/>
      <c r="P3490" s="55">
        <v>49638800</v>
      </c>
      <c r="Q3490" s="127">
        <v>44256</v>
      </c>
      <c r="R3490" s="14">
        <v>322500</v>
      </c>
      <c r="S3490" s="14">
        <v>412800</v>
      </c>
      <c r="U3490" s="3"/>
    </row>
    <row r="3491" spans="1:24" ht="15" hidden="1" x14ac:dyDescent="0.25">
      <c r="B3491" s="89">
        <v>44327.083333333336</v>
      </c>
      <c r="C3491" s="92" t="s">
        <v>3269</v>
      </c>
      <c r="D3491" s="23"/>
      <c r="E3491" s="91">
        <v>6427200</v>
      </c>
      <c r="F3491" s="93"/>
      <c r="G3491" s="93">
        <f t="shared" si="674"/>
        <v>6427200</v>
      </c>
      <c r="H3491" s="94"/>
      <c r="I3491" s="91">
        <v>62595.39</v>
      </c>
      <c r="J3491" s="91">
        <v>55008.86</v>
      </c>
      <c r="K3491" s="25">
        <f t="shared" si="675"/>
        <v>6309595.75</v>
      </c>
      <c r="L3491" s="95">
        <f t="shared" si="676"/>
        <v>52060320</v>
      </c>
      <c r="M3491" s="20">
        <v>6427200</v>
      </c>
      <c r="N3491" s="20">
        <f>+G3491-M3491</f>
        <v>0</v>
      </c>
      <c r="P3491" s="55">
        <v>50145846</v>
      </c>
      <c r="Q3491" s="127">
        <v>44287</v>
      </c>
      <c r="R3491" s="14">
        <v>322500</v>
      </c>
      <c r="S3491" s="14">
        <v>412800</v>
      </c>
      <c r="U3491" s="3">
        <f>+U3489*12.5%</f>
        <v>3395704</v>
      </c>
      <c r="V3491" s="173" t="s">
        <v>2769</v>
      </c>
    </row>
    <row r="3492" spans="1:24" ht="15" hidden="1" x14ac:dyDescent="0.25">
      <c r="B3492" s="89">
        <v>44356.083333333336</v>
      </c>
      <c r="C3492" s="92" t="s">
        <v>3270</v>
      </c>
      <c r="D3492" s="23"/>
      <c r="E3492" s="91">
        <v>6427200</v>
      </c>
      <c r="F3492" s="93"/>
      <c r="G3492" s="93">
        <f t="shared" si="674"/>
        <v>6427200</v>
      </c>
      <c r="H3492" s="94"/>
      <c r="I3492" s="91">
        <v>62595.39</v>
      </c>
      <c r="J3492" s="91">
        <v>55008.86</v>
      </c>
      <c r="K3492" s="25">
        <f t="shared" si="675"/>
        <v>6309595.75</v>
      </c>
      <c r="L3492" s="95">
        <f t="shared" si="676"/>
        <v>45633120</v>
      </c>
      <c r="M3492" s="20"/>
      <c r="N3492" s="20"/>
      <c r="P3492" s="84">
        <v>50653590</v>
      </c>
      <c r="Q3492" s="174">
        <v>44317</v>
      </c>
      <c r="R3492" s="125">
        <v>322500</v>
      </c>
      <c r="S3492" s="125">
        <v>412800</v>
      </c>
      <c r="U3492" s="3">
        <f>+U3489*16%</f>
        <v>4346501.1200000001</v>
      </c>
      <c r="V3492" s="172" t="s">
        <v>2771</v>
      </c>
    </row>
    <row r="3493" spans="1:24" ht="15" hidden="1" x14ac:dyDescent="0.25">
      <c r="B3493" s="89">
        <v>44391.083333333336</v>
      </c>
      <c r="C3493" s="92" t="s">
        <v>3271</v>
      </c>
      <c r="D3493" s="23"/>
      <c r="E3493" s="91">
        <v>6427200</v>
      </c>
      <c r="F3493" s="93"/>
      <c r="G3493" s="93">
        <f t="shared" si="674"/>
        <v>6427200</v>
      </c>
      <c r="H3493" s="94"/>
      <c r="I3493" s="91">
        <v>62595.39</v>
      </c>
      <c r="J3493" s="91">
        <v>55008.86</v>
      </c>
      <c r="K3493" s="25">
        <f t="shared" si="675"/>
        <v>6309595.75</v>
      </c>
      <c r="L3493" s="95">
        <f t="shared" si="676"/>
        <v>39205920</v>
      </c>
      <c r="M3493" s="20"/>
      <c r="N3493" s="20"/>
      <c r="P3493" s="84">
        <v>1020318580</v>
      </c>
      <c r="Q3493" s="174">
        <v>44348</v>
      </c>
      <c r="R3493" s="125">
        <v>322500</v>
      </c>
      <c r="S3493" s="125">
        <v>412800</v>
      </c>
    </row>
    <row r="3494" spans="1:24" ht="15" hidden="1" x14ac:dyDescent="0.25">
      <c r="B3494" s="89">
        <v>44419.083333333336</v>
      </c>
      <c r="C3494" s="92" t="s">
        <v>3272</v>
      </c>
      <c r="D3494" s="23"/>
      <c r="E3494" s="91">
        <v>6427200</v>
      </c>
      <c r="F3494" s="93"/>
      <c r="G3494" s="93">
        <f t="shared" si="674"/>
        <v>6427200</v>
      </c>
      <c r="H3494" s="94"/>
      <c r="I3494" s="91">
        <v>62595.39</v>
      </c>
      <c r="J3494" s="91">
        <v>55008.86</v>
      </c>
      <c r="K3494" s="25">
        <f t="shared" si="675"/>
        <v>6309595.75</v>
      </c>
      <c r="L3494" s="95">
        <f t="shared" si="676"/>
        <v>32778720</v>
      </c>
      <c r="M3494" s="20"/>
      <c r="N3494" s="20"/>
      <c r="P3494" s="84">
        <v>1061920698</v>
      </c>
      <c r="Q3494" s="174">
        <v>44378</v>
      </c>
      <c r="R3494" s="125">
        <v>322500</v>
      </c>
      <c r="S3494" s="125">
        <v>412800</v>
      </c>
      <c r="W3494" s="31">
        <v>6427200</v>
      </c>
      <c r="X3494" s="131">
        <f>+E3494-W3494</f>
        <v>0</v>
      </c>
    </row>
    <row r="3495" spans="1:24" ht="15" hidden="1" x14ac:dyDescent="0.25">
      <c r="B3495" s="89">
        <v>44447.083333333336</v>
      </c>
      <c r="C3495" s="92" t="s">
        <v>3273</v>
      </c>
      <c r="D3495" s="23"/>
      <c r="E3495" s="91">
        <v>6427200</v>
      </c>
      <c r="F3495" s="93"/>
      <c r="G3495" s="93">
        <f t="shared" si="674"/>
        <v>6427200</v>
      </c>
      <c r="H3495" s="94"/>
      <c r="I3495" s="91">
        <v>62595.39</v>
      </c>
      <c r="J3495" s="91">
        <v>55008.86</v>
      </c>
      <c r="K3495" s="25">
        <f t="shared" si="675"/>
        <v>6309595.75</v>
      </c>
      <c r="L3495" s="95">
        <f>+L3494-G3495</f>
        <v>26351520</v>
      </c>
      <c r="M3495" s="20"/>
      <c r="N3495" s="20"/>
      <c r="P3495" s="84">
        <v>52691466</v>
      </c>
      <c r="Q3495" s="174">
        <v>44409</v>
      </c>
      <c r="R3495" s="125">
        <v>322500</v>
      </c>
      <c r="S3495" s="125">
        <v>412800</v>
      </c>
      <c r="W3495" s="31"/>
      <c r="X3495" s="131"/>
    </row>
    <row r="3496" spans="1:24" ht="15" hidden="1" x14ac:dyDescent="0.25">
      <c r="B3496" s="89">
        <v>44480.083333333336</v>
      </c>
      <c r="C3496" s="92" t="s">
        <v>3274</v>
      </c>
      <c r="D3496" s="23"/>
      <c r="E3496" s="91">
        <v>6427200</v>
      </c>
      <c r="F3496" s="93"/>
      <c r="G3496" s="93">
        <f t="shared" si="674"/>
        <v>6427200</v>
      </c>
      <c r="H3496" s="94"/>
      <c r="I3496" s="91">
        <v>62595.39</v>
      </c>
      <c r="J3496" s="91">
        <v>55008.86</v>
      </c>
      <c r="K3496" s="25">
        <f t="shared" si="675"/>
        <v>6309595.75</v>
      </c>
      <c r="L3496" s="95">
        <f>+L3495-G3496</f>
        <v>19924320</v>
      </c>
      <c r="M3496" s="20"/>
      <c r="N3496" s="20"/>
      <c r="P3496" s="84">
        <v>53231642</v>
      </c>
      <c r="Q3496" s="174">
        <v>44440</v>
      </c>
      <c r="R3496" s="125">
        <v>322500</v>
      </c>
      <c r="S3496" s="125">
        <v>412800</v>
      </c>
      <c r="W3496" s="31"/>
      <c r="X3496" s="131"/>
    </row>
    <row r="3497" spans="1:24" ht="15" hidden="1" x14ac:dyDescent="0.25">
      <c r="B3497" s="89">
        <v>44509.125</v>
      </c>
      <c r="C3497" s="92" t="s">
        <v>3275</v>
      </c>
      <c r="D3497" s="23"/>
      <c r="E3497" s="91">
        <v>6427200</v>
      </c>
      <c r="F3497" s="93"/>
      <c r="G3497" s="93">
        <f t="shared" si="674"/>
        <v>6427200</v>
      </c>
      <c r="H3497" s="94"/>
      <c r="I3497" s="91">
        <v>62595.39</v>
      </c>
      <c r="J3497" s="91">
        <v>55008.86</v>
      </c>
      <c r="K3497" s="25">
        <f t="shared" si="675"/>
        <v>6309595.75</v>
      </c>
      <c r="L3497" s="95">
        <f>+L3496-G3497</f>
        <v>13497120</v>
      </c>
      <c r="M3497" s="20"/>
      <c r="N3497" s="20"/>
      <c r="P3497" s="84">
        <v>54063810</v>
      </c>
      <c r="Q3497" s="174">
        <v>44470</v>
      </c>
      <c r="R3497" s="125">
        <v>322500</v>
      </c>
      <c r="S3497" s="125">
        <v>412800</v>
      </c>
      <c r="W3497" s="31"/>
      <c r="X3497" s="131"/>
    </row>
    <row r="3498" spans="1:24" ht="15" hidden="1" x14ac:dyDescent="0.25">
      <c r="B3498" s="89">
        <v>44533.125</v>
      </c>
      <c r="C3498" s="92" t="s">
        <v>3276</v>
      </c>
      <c r="D3498" s="23"/>
      <c r="E3498" s="91">
        <v>6427200</v>
      </c>
      <c r="F3498" s="93"/>
      <c r="G3498" s="93">
        <f t="shared" si="674"/>
        <v>6427200</v>
      </c>
      <c r="H3498" s="94"/>
      <c r="I3498" s="91">
        <v>62595.39</v>
      </c>
      <c r="J3498" s="91">
        <v>55008.86</v>
      </c>
      <c r="K3498" s="25">
        <f t="shared" si="675"/>
        <v>6309595.75</v>
      </c>
      <c r="L3498" s="95">
        <f>+L3497-G3498</f>
        <v>7069920</v>
      </c>
      <c r="M3498" s="20"/>
      <c r="N3498" s="20"/>
      <c r="P3498" s="84">
        <v>54619264</v>
      </c>
      <c r="Q3498" s="174">
        <v>44501</v>
      </c>
      <c r="R3498" s="125">
        <v>322500</v>
      </c>
      <c r="S3498" s="125">
        <v>412800</v>
      </c>
      <c r="W3498" s="31"/>
      <c r="X3498" s="131"/>
    </row>
    <row r="3499" spans="1:24" ht="15" hidden="1" x14ac:dyDescent="0.25">
      <c r="B3499" s="89">
        <v>44551.125</v>
      </c>
      <c r="C3499" s="92" t="s">
        <v>3277</v>
      </c>
      <c r="D3499" s="23"/>
      <c r="E3499" s="91">
        <v>6427200</v>
      </c>
      <c r="F3499" s="93"/>
      <c r="G3499" s="93">
        <f t="shared" si="674"/>
        <v>6427200</v>
      </c>
      <c r="H3499" s="94"/>
      <c r="I3499" s="91">
        <v>62595.39</v>
      </c>
      <c r="J3499" s="91">
        <v>55008.86</v>
      </c>
      <c r="K3499" s="25">
        <f t="shared" si="675"/>
        <v>6309595.75</v>
      </c>
      <c r="L3499" s="95">
        <f>+L3498-G3499</f>
        <v>642720</v>
      </c>
      <c r="M3499" s="20"/>
      <c r="N3499" s="20"/>
      <c r="P3499" s="84">
        <v>55211253</v>
      </c>
      <c r="Q3499" s="174">
        <v>44531</v>
      </c>
      <c r="R3499" s="125">
        <v>322500</v>
      </c>
      <c r="S3499" s="125">
        <v>412800</v>
      </c>
      <c r="W3499" s="31"/>
      <c r="X3499" s="131"/>
    </row>
    <row r="3500" spans="1:24" ht="15" hidden="1" x14ac:dyDescent="0.25">
      <c r="B3500" s="89"/>
      <c r="C3500" s="92"/>
      <c r="D3500" s="23"/>
      <c r="E3500" s="91"/>
      <c r="F3500" s="93"/>
      <c r="G3500" s="93"/>
      <c r="H3500" s="94"/>
      <c r="I3500" s="91"/>
      <c r="J3500" s="91"/>
      <c r="K3500" s="25"/>
      <c r="L3500" s="95"/>
      <c r="M3500" s="20"/>
      <c r="N3500" s="20"/>
      <c r="P3500" s="84"/>
      <c r="Q3500" s="174"/>
      <c r="R3500" s="178">
        <f>SUM(R3489:R3499)</f>
        <v>3437500</v>
      </c>
      <c r="S3500" s="177">
        <f>SUM(S3489:S3499)</f>
        <v>4400000</v>
      </c>
      <c r="W3500" s="31"/>
      <c r="X3500" s="131"/>
    </row>
    <row r="3501" spans="1:24" ht="15" hidden="1" x14ac:dyDescent="0.25">
      <c r="B3501" s="89"/>
      <c r="C3501" s="92"/>
      <c r="D3501" s="23"/>
      <c r="E3501" s="91"/>
      <c r="F3501" s="93"/>
      <c r="G3501" s="93"/>
      <c r="H3501" s="94"/>
      <c r="I3501" s="91"/>
      <c r="J3501" s="91"/>
      <c r="K3501" s="25"/>
      <c r="L3501" s="95"/>
      <c r="M3501" s="20"/>
      <c r="N3501" s="20"/>
      <c r="P3501" s="84"/>
      <c r="Q3501" s="174"/>
      <c r="R3501" s="125"/>
      <c r="S3501" s="125"/>
      <c r="W3501" s="31"/>
      <c r="X3501" s="131"/>
    </row>
    <row r="3502" spans="1:24" ht="15" hidden="1" x14ac:dyDescent="0.25">
      <c r="A3502" s="21">
        <v>2212021</v>
      </c>
      <c r="B3502" s="139" t="s">
        <v>3278</v>
      </c>
      <c r="C3502" s="140"/>
      <c r="D3502" s="141">
        <v>96305000</v>
      </c>
      <c r="E3502" s="141">
        <f>+D3502</f>
        <v>96305000</v>
      </c>
      <c r="F3502" s="141"/>
      <c r="G3502" s="141"/>
      <c r="H3502" s="141"/>
      <c r="I3502" s="141"/>
      <c r="J3502" s="141"/>
      <c r="K3502" s="141"/>
      <c r="L3502" s="141">
        <f>+D3502</f>
        <v>96305000</v>
      </c>
      <c r="M3502" s="142"/>
      <c r="N3502" s="142"/>
      <c r="O3502" s="149">
        <f>+VLOOKUP(A3502,'[1]ANEXO 7 - PPTO VIG 2021'!$H$8:$AB$160,21,)-L3513</f>
        <v>-1751000</v>
      </c>
    </row>
    <row r="3503" spans="1:24" ht="15" hidden="1" x14ac:dyDescent="0.25">
      <c r="B3503" s="89">
        <v>44257.125</v>
      </c>
      <c r="C3503" s="92" t="s">
        <v>3279</v>
      </c>
      <c r="D3503" s="23"/>
      <c r="E3503" s="91">
        <v>7004000</v>
      </c>
      <c r="F3503" s="93"/>
      <c r="G3503" s="93">
        <f t="shared" ref="G3503:G3513" si="677">+E3503</f>
        <v>7004000</v>
      </c>
      <c r="H3503" s="94"/>
      <c r="I3503" s="94">
        <v>118804.35</v>
      </c>
      <c r="J3503" s="91">
        <v>59945.56</v>
      </c>
      <c r="K3503" s="25">
        <f t="shared" ref="K3503:K3513" si="678">+G3503-H3503-I3503-J3503</f>
        <v>6825250.0900000008</v>
      </c>
      <c r="L3503" s="95">
        <f t="shared" ref="L3503:L3508" si="679">+L3502-G3503</f>
        <v>89301000</v>
      </c>
      <c r="M3503" s="96"/>
      <c r="N3503" s="96"/>
      <c r="P3503" s="189">
        <v>48082896</v>
      </c>
      <c r="Q3503" s="190">
        <v>44197</v>
      </c>
      <c r="R3503" s="191">
        <v>212500</v>
      </c>
      <c r="S3503" s="191">
        <v>272000</v>
      </c>
      <c r="T3503" s="3">
        <v>96305000</v>
      </c>
      <c r="U3503" s="192">
        <v>1751000</v>
      </c>
      <c r="V3503" s="179">
        <f>+T3503-U3503</f>
        <v>94554000</v>
      </c>
    </row>
    <row r="3504" spans="1:24" ht="15" hidden="1" x14ac:dyDescent="0.25">
      <c r="B3504" s="89">
        <v>44299.083333333336</v>
      </c>
      <c r="C3504" s="92" t="s">
        <v>3280</v>
      </c>
      <c r="D3504" s="23"/>
      <c r="E3504" s="91">
        <v>8755000</v>
      </c>
      <c r="F3504" s="93"/>
      <c r="G3504" s="93">
        <f t="shared" si="677"/>
        <v>8755000</v>
      </c>
      <c r="H3504" s="94"/>
      <c r="I3504" s="91">
        <v>313927.03000000003</v>
      </c>
      <c r="J3504" s="91">
        <v>74931.94</v>
      </c>
      <c r="K3504" s="25">
        <f t="shared" si="678"/>
        <v>8366141.0300000003</v>
      </c>
      <c r="L3504" s="95">
        <f t="shared" si="679"/>
        <v>80546000</v>
      </c>
      <c r="M3504" s="96"/>
      <c r="N3504" s="96"/>
      <c r="P3504" s="55">
        <v>48723821</v>
      </c>
      <c r="Q3504" s="127">
        <v>44228</v>
      </c>
      <c r="R3504" s="14">
        <v>1062500</v>
      </c>
      <c r="S3504" s="14">
        <v>1445000</v>
      </c>
      <c r="U3504" s="21" t="s">
        <v>3281</v>
      </c>
      <c r="V3504" s="192">
        <f>+V3503*40%</f>
        <v>37821600</v>
      </c>
    </row>
    <row r="3505" spans="1:24" ht="15" hidden="1" x14ac:dyDescent="0.25">
      <c r="B3505" s="89">
        <v>44321.083333333336</v>
      </c>
      <c r="C3505" s="92" t="s">
        <v>3282</v>
      </c>
      <c r="D3505" s="23"/>
      <c r="E3505" s="91">
        <v>8755000</v>
      </c>
      <c r="F3505" s="93"/>
      <c r="G3505" s="93">
        <f t="shared" si="677"/>
        <v>8755000</v>
      </c>
      <c r="H3505" s="94"/>
      <c r="I3505" s="94">
        <v>313927.03000000003</v>
      </c>
      <c r="J3505" s="91">
        <v>74931.94</v>
      </c>
      <c r="K3505" s="25">
        <f t="shared" si="678"/>
        <v>8366141.0300000003</v>
      </c>
      <c r="L3505" s="95">
        <f t="shared" si="679"/>
        <v>71791000</v>
      </c>
      <c r="M3505" s="20">
        <v>8755000</v>
      </c>
      <c r="N3505" s="20">
        <f>+G3505-M3505</f>
        <v>0</v>
      </c>
      <c r="P3505" s="55">
        <v>49423189</v>
      </c>
      <c r="Q3505" s="127">
        <v>44256</v>
      </c>
      <c r="R3505" s="14">
        <v>1062500</v>
      </c>
      <c r="S3505" s="14">
        <v>1445000</v>
      </c>
      <c r="U3505" s="21" t="s">
        <v>2771</v>
      </c>
      <c r="V3505" s="193">
        <f>+V3504*16%</f>
        <v>6051456</v>
      </c>
    </row>
    <row r="3506" spans="1:24" ht="15" hidden="1" x14ac:dyDescent="0.25">
      <c r="B3506" s="89">
        <v>44349.083333333336</v>
      </c>
      <c r="C3506" s="92" t="s">
        <v>3283</v>
      </c>
      <c r="D3506" s="23"/>
      <c r="E3506" s="91">
        <v>8755000</v>
      </c>
      <c r="F3506" s="93"/>
      <c r="G3506" s="93">
        <f t="shared" si="677"/>
        <v>8755000</v>
      </c>
      <c r="H3506" s="94"/>
      <c r="I3506" s="94">
        <v>313927.03000000003</v>
      </c>
      <c r="J3506" s="91">
        <v>74931.94</v>
      </c>
      <c r="K3506" s="25">
        <f t="shared" si="678"/>
        <v>8366141.0300000003</v>
      </c>
      <c r="L3506" s="95">
        <f t="shared" si="679"/>
        <v>63036000</v>
      </c>
      <c r="M3506" s="20"/>
      <c r="N3506" s="20"/>
      <c r="P3506" s="84">
        <v>50096913</v>
      </c>
      <c r="Q3506" s="174">
        <v>44287</v>
      </c>
      <c r="R3506" s="14">
        <v>1062500</v>
      </c>
      <c r="S3506" s="14">
        <v>1445000</v>
      </c>
      <c r="U3506" s="21" t="s">
        <v>2769</v>
      </c>
      <c r="V3506" s="193">
        <f>+V3504*12.5%</f>
        <v>4727700</v>
      </c>
    </row>
    <row r="3507" spans="1:24" ht="15" hidden="1" x14ac:dyDescent="0.25">
      <c r="B3507" s="89">
        <v>44384.083333333336</v>
      </c>
      <c r="C3507" s="92" t="s">
        <v>3284</v>
      </c>
      <c r="D3507" s="23"/>
      <c r="E3507" s="91">
        <v>8755000</v>
      </c>
      <c r="F3507" s="93"/>
      <c r="G3507" s="93">
        <f t="shared" si="677"/>
        <v>8755000</v>
      </c>
      <c r="H3507" s="94"/>
      <c r="I3507" s="94">
        <v>313927.03000000003</v>
      </c>
      <c r="J3507" s="91">
        <v>74931.94</v>
      </c>
      <c r="K3507" s="25">
        <f t="shared" si="678"/>
        <v>8366141.0300000003</v>
      </c>
      <c r="L3507" s="95">
        <f t="shared" si="679"/>
        <v>54281000</v>
      </c>
      <c r="M3507" s="20"/>
      <c r="N3507" s="20"/>
      <c r="P3507" s="84">
        <v>507496369</v>
      </c>
      <c r="Q3507" s="174">
        <v>44317</v>
      </c>
      <c r="R3507" s="14">
        <v>1062500</v>
      </c>
      <c r="S3507" s="14">
        <v>1445000</v>
      </c>
    </row>
    <row r="3508" spans="1:24" ht="15" hidden="1" x14ac:dyDescent="0.25">
      <c r="B3508" s="89">
        <v>44411.083333333336</v>
      </c>
      <c r="C3508" s="92" t="s">
        <v>3285</v>
      </c>
      <c r="D3508" s="23"/>
      <c r="E3508" s="91">
        <v>8755000</v>
      </c>
      <c r="F3508" s="93"/>
      <c r="G3508" s="93">
        <f t="shared" si="677"/>
        <v>8755000</v>
      </c>
      <c r="H3508" s="94"/>
      <c r="I3508" s="94">
        <v>318917.38</v>
      </c>
      <c r="J3508" s="91">
        <v>74931.94</v>
      </c>
      <c r="K3508" s="25">
        <f t="shared" si="678"/>
        <v>8361150.6799999988</v>
      </c>
      <c r="L3508" s="95">
        <f t="shared" si="679"/>
        <v>45526000</v>
      </c>
      <c r="M3508" s="20"/>
      <c r="N3508" s="20"/>
      <c r="P3508" s="84">
        <v>51434620</v>
      </c>
      <c r="Q3508" s="174">
        <v>44348</v>
      </c>
      <c r="R3508" s="14">
        <v>1062500</v>
      </c>
      <c r="S3508" s="14">
        <v>1445000</v>
      </c>
      <c r="W3508" s="31">
        <v>8755000</v>
      </c>
      <c r="X3508" s="131">
        <f>+E3508-W3508</f>
        <v>0</v>
      </c>
    </row>
    <row r="3509" spans="1:24" ht="15" hidden="1" x14ac:dyDescent="0.25">
      <c r="B3509" s="89">
        <v>44441.083333333336</v>
      </c>
      <c r="C3509" s="92" t="s">
        <v>3286</v>
      </c>
      <c r="D3509" s="23"/>
      <c r="E3509" s="91">
        <v>8755000</v>
      </c>
      <c r="F3509" s="93"/>
      <c r="G3509" s="93">
        <f t="shared" si="677"/>
        <v>8755000</v>
      </c>
      <c r="H3509" s="94"/>
      <c r="I3509" s="94">
        <v>313927.03000000003</v>
      </c>
      <c r="J3509" s="91">
        <v>74931.94</v>
      </c>
      <c r="K3509" s="25">
        <f t="shared" si="678"/>
        <v>8366141.0300000003</v>
      </c>
      <c r="L3509" s="95">
        <f>+L3508-G3509</f>
        <v>36771000</v>
      </c>
      <c r="M3509" s="20"/>
      <c r="N3509" s="20"/>
      <c r="P3509" s="84">
        <v>52096468</v>
      </c>
      <c r="Q3509" s="174">
        <v>44378</v>
      </c>
      <c r="R3509" s="14">
        <v>1062500</v>
      </c>
      <c r="S3509" s="14">
        <v>1445000</v>
      </c>
      <c r="W3509" s="31"/>
      <c r="X3509" s="131"/>
    </row>
    <row r="3510" spans="1:24" ht="15" hidden="1" x14ac:dyDescent="0.25">
      <c r="B3510" s="89">
        <v>44474.083333333336</v>
      </c>
      <c r="C3510" s="92" t="s">
        <v>3287</v>
      </c>
      <c r="D3510" s="23"/>
      <c r="E3510" s="91">
        <v>8755000</v>
      </c>
      <c r="F3510" s="93"/>
      <c r="G3510" s="93">
        <f t="shared" si="677"/>
        <v>8755000</v>
      </c>
      <c r="H3510" s="94"/>
      <c r="I3510" s="94">
        <v>313927.03000000003</v>
      </c>
      <c r="J3510" s="91">
        <v>74931.94</v>
      </c>
      <c r="K3510" s="25">
        <f t="shared" si="678"/>
        <v>8366141.0300000003</v>
      </c>
      <c r="L3510" s="95">
        <f>+L3509-G3510</f>
        <v>28016000</v>
      </c>
      <c r="M3510" s="20"/>
      <c r="N3510" s="20"/>
      <c r="P3510" s="84">
        <v>52776638</v>
      </c>
      <c r="Q3510" s="174">
        <v>44409</v>
      </c>
      <c r="R3510" s="14">
        <v>1062500</v>
      </c>
      <c r="S3510" s="14">
        <v>1445000</v>
      </c>
      <c r="W3510" s="31"/>
      <c r="X3510" s="131"/>
    </row>
    <row r="3511" spans="1:24" ht="15" hidden="1" x14ac:dyDescent="0.25">
      <c r="B3511" s="89">
        <v>44504.083333333336</v>
      </c>
      <c r="C3511" s="92" t="s">
        <v>3288</v>
      </c>
      <c r="D3511" s="23"/>
      <c r="E3511" s="91">
        <v>8755000</v>
      </c>
      <c r="F3511" s="93"/>
      <c r="G3511" s="93">
        <f t="shared" si="677"/>
        <v>8755000</v>
      </c>
      <c r="H3511" s="94"/>
      <c r="I3511" s="94">
        <v>313927.03000000003</v>
      </c>
      <c r="J3511" s="91">
        <v>74931.94</v>
      </c>
      <c r="K3511" s="25">
        <f t="shared" si="678"/>
        <v>8366141.0300000003</v>
      </c>
      <c r="L3511" s="95">
        <f>+L3510-G3511</f>
        <v>19261000</v>
      </c>
      <c r="M3511" s="20"/>
      <c r="N3511" s="20"/>
      <c r="P3511" s="84">
        <v>53469792</v>
      </c>
      <c r="Q3511" s="174">
        <v>44440</v>
      </c>
      <c r="R3511" s="14">
        <v>1062500</v>
      </c>
      <c r="S3511" s="14">
        <v>1445000</v>
      </c>
      <c r="W3511" s="31"/>
      <c r="X3511" s="131"/>
    </row>
    <row r="3512" spans="1:24" ht="15" hidden="1" x14ac:dyDescent="0.25">
      <c r="B3512" s="89">
        <v>44536.125</v>
      </c>
      <c r="C3512" s="92" t="s">
        <v>3289</v>
      </c>
      <c r="D3512" s="23"/>
      <c r="E3512" s="91">
        <v>8755000</v>
      </c>
      <c r="F3512" s="93"/>
      <c r="G3512" s="93">
        <f t="shared" si="677"/>
        <v>8755000</v>
      </c>
      <c r="H3512" s="94"/>
      <c r="I3512" s="94">
        <v>313927.03000000003</v>
      </c>
      <c r="J3512" s="91">
        <v>74931.94</v>
      </c>
      <c r="K3512" s="25">
        <f t="shared" si="678"/>
        <v>8366141.0300000003</v>
      </c>
      <c r="L3512" s="95">
        <f>+L3511-G3512</f>
        <v>10506000</v>
      </c>
      <c r="M3512" s="20"/>
      <c r="N3512" s="20"/>
      <c r="P3512" s="84">
        <v>54132652</v>
      </c>
      <c r="Q3512" s="174">
        <v>44470</v>
      </c>
      <c r="R3512" s="14">
        <v>1062500</v>
      </c>
      <c r="S3512" s="14">
        <v>1445000</v>
      </c>
      <c r="W3512" s="31"/>
      <c r="X3512" s="131"/>
    </row>
    <row r="3513" spans="1:24" ht="15" hidden="1" x14ac:dyDescent="0.25">
      <c r="B3513" s="89">
        <v>44551.125</v>
      </c>
      <c r="C3513" s="92" t="s">
        <v>3290</v>
      </c>
      <c r="D3513" s="23"/>
      <c r="E3513" s="91">
        <v>8755000</v>
      </c>
      <c r="F3513" s="93"/>
      <c r="G3513" s="93">
        <f t="shared" si="677"/>
        <v>8755000</v>
      </c>
      <c r="H3513" s="94"/>
      <c r="I3513" s="94">
        <v>313927.03000000003</v>
      </c>
      <c r="J3513" s="91">
        <v>74931.94</v>
      </c>
      <c r="K3513" s="25">
        <f t="shared" si="678"/>
        <v>8366141.0300000003</v>
      </c>
      <c r="L3513" s="95">
        <f>+L3512-G3513</f>
        <v>1751000</v>
      </c>
      <c r="M3513" s="20"/>
      <c r="N3513" s="20"/>
      <c r="P3513" s="84">
        <v>54814980</v>
      </c>
      <c r="Q3513" s="174">
        <v>44501</v>
      </c>
      <c r="R3513" s="14">
        <v>1062500</v>
      </c>
      <c r="S3513" s="14">
        <v>1445000</v>
      </c>
      <c r="W3513" s="31"/>
      <c r="X3513" s="131"/>
    </row>
    <row r="3514" spans="1:24" ht="15" hidden="1" x14ac:dyDescent="0.25">
      <c r="B3514" s="89"/>
      <c r="C3514" s="92"/>
      <c r="D3514" s="23"/>
      <c r="E3514" s="91"/>
      <c r="F3514" s="93"/>
      <c r="G3514" s="93"/>
      <c r="H3514" s="94"/>
      <c r="I3514" s="94"/>
      <c r="J3514" s="91"/>
      <c r="K3514" s="25"/>
      <c r="L3514" s="95"/>
      <c r="M3514" s="20"/>
      <c r="N3514" s="20"/>
      <c r="P3514" s="84">
        <v>55423343</v>
      </c>
      <c r="Q3514" s="174">
        <v>44531</v>
      </c>
      <c r="R3514" s="14">
        <v>1062500</v>
      </c>
      <c r="S3514" s="14">
        <v>1445000</v>
      </c>
      <c r="W3514" s="31"/>
      <c r="X3514" s="131"/>
    </row>
    <row r="3515" spans="1:24" ht="15" hidden="1" x14ac:dyDescent="0.25">
      <c r="B3515" s="89"/>
      <c r="C3515" s="92"/>
      <c r="D3515" s="23"/>
      <c r="E3515" s="91"/>
      <c r="F3515" s="93"/>
      <c r="G3515" s="93"/>
      <c r="H3515" s="94"/>
      <c r="I3515" s="94"/>
      <c r="J3515" s="91"/>
      <c r="K3515" s="25"/>
      <c r="L3515" s="95"/>
      <c r="M3515" s="20"/>
      <c r="N3515" s="20"/>
      <c r="P3515" s="84"/>
      <c r="Q3515" s="174"/>
      <c r="R3515" s="125">
        <f>SUM(R3503:R3514)</f>
        <v>11900000</v>
      </c>
      <c r="S3515" s="125">
        <f>SUM(S3503:S3514)</f>
        <v>16167000</v>
      </c>
      <c r="W3515" s="31"/>
      <c r="X3515" s="131"/>
    </row>
    <row r="3516" spans="1:24" ht="15" hidden="1" x14ac:dyDescent="0.25">
      <c r="B3516" s="89"/>
      <c r="C3516" s="92"/>
      <c r="D3516" s="23"/>
      <c r="E3516" s="91"/>
      <c r="F3516" s="93"/>
      <c r="G3516" s="93"/>
      <c r="H3516" s="94"/>
      <c r="I3516" s="94"/>
      <c r="J3516" s="91"/>
      <c r="K3516" s="25"/>
      <c r="L3516" s="95"/>
      <c r="M3516" s="20"/>
      <c r="N3516" s="20"/>
      <c r="P3516" s="84"/>
      <c r="Q3516" s="174"/>
      <c r="R3516" s="125"/>
      <c r="S3516" s="125"/>
      <c r="W3516" s="31"/>
      <c r="X3516" s="131"/>
    </row>
    <row r="3517" spans="1:24" ht="15" hidden="1" x14ac:dyDescent="0.25">
      <c r="A3517" s="21">
        <v>1832021</v>
      </c>
      <c r="B3517" s="139" t="s">
        <v>3291</v>
      </c>
      <c r="C3517" s="140"/>
      <c r="D3517" s="141">
        <v>115500000</v>
      </c>
      <c r="E3517" s="141">
        <f>+D3517</f>
        <v>115500000</v>
      </c>
      <c r="F3517" s="141"/>
      <c r="G3517" s="141"/>
      <c r="H3517" s="141"/>
      <c r="I3517" s="141"/>
      <c r="J3517" s="141"/>
      <c r="K3517" s="141"/>
      <c r="L3517" s="141">
        <f>+D3517</f>
        <v>115500000</v>
      </c>
      <c r="M3517" s="142"/>
      <c r="N3517" s="142"/>
      <c r="O3517" s="149">
        <f>+VLOOKUP(A3517,'[1]ANEXO 7 - PPTO VIG 2021'!$H$8:$AB$160,21,)-L3529</f>
        <v>-1750000</v>
      </c>
    </row>
    <row r="3518" spans="1:24" ht="15" hidden="1" x14ac:dyDescent="0.25">
      <c r="B3518" s="89">
        <v>44278.083333333336</v>
      </c>
      <c r="C3518" s="92" t="s">
        <v>3292</v>
      </c>
      <c r="D3518" s="23"/>
      <c r="E3518" s="91">
        <v>8750000</v>
      </c>
      <c r="F3518" s="93"/>
      <c r="G3518" s="93">
        <f t="shared" ref="G3518:G3529" si="680">+E3518</f>
        <v>8750000</v>
      </c>
      <c r="H3518" s="94"/>
      <c r="I3518" s="94">
        <v>459260</v>
      </c>
      <c r="J3518" s="91">
        <v>74889.149999999994</v>
      </c>
      <c r="K3518" s="25">
        <f>+G3518-H3518-I3518-J3518</f>
        <v>8215850.8499999996</v>
      </c>
      <c r="L3518" s="95">
        <f t="shared" ref="L3518:L3529" si="681">+L3517-G3518</f>
        <v>106750000</v>
      </c>
      <c r="M3518" s="96"/>
      <c r="N3518" s="96"/>
      <c r="P3518" s="21">
        <v>1036045196</v>
      </c>
      <c r="Q3518" s="127">
        <v>44228</v>
      </c>
      <c r="R3518" s="14">
        <v>393800</v>
      </c>
      <c r="S3518" s="14">
        <v>504000</v>
      </c>
      <c r="T3518" s="3">
        <f>+L3517-1750000</f>
        <v>113750000</v>
      </c>
      <c r="U3518" s="3">
        <f>+T3518*40%</f>
        <v>45500000</v>
      </c>
    </row>
    <row r="3519" spans="1:24" ht="15" hidden="1" x14ac:dyDescent="0.25">
      <c r="B3519" s="89"/>
      <c r="C3519" s="92"/>
      <c r="D3519" s="23"/>
      <c r="E3519" s="91"/>
      <c r="F3519" s="93"/>
      <c r="G3519" s="93"/>
      <c r="H3519" s="94"/>
      <c r="I3519" s="94"/>
      <c r="J3519" s="91"/>
      <c r="K3519" s="25"/>
      <c r="L3519" s="95"/>
      <c r="M3519" s="96"/>
      <c r="N3519" s="96"/>
      <c r="P3519" s="21">
        <v>1036630433</v>
      </c>
      <c r="Q3519" s="127">
        <v>44228</v>
      </c>
      <c r="R3519" s="14">
        <v>43700</v>
      </c>
      <c r="S3519" s="14">
        <v>56000</v>
      </c>
      <c r="U3519" s="3"/>
    </row>
    <row r="3520" spans="1:24" ht="15" hidden="1" x14ac:dyDescent="0.25">
      <c r="B3520" s="89">
        <v>44299.083333333336</v>
      </c>
      <c r="C3520" s="92" t="s">
        <v>3293</v>
      </c>
      <c r="D3520" s="23"/>
      <c r="E3520" s="91">
        <v>10500000</v>
      </c>
      <c r="F3520" s="93"/>
      <c r="G3520" s="93">
        <f t="shared" si="680"/>
        <v>10500000</v>
      </c>
      <c r="H3520" s="94"/>
      <c r="I3520" s="91">
        <v>787153.99</v>
      </c>
      <c r="J3520" s="91">
        <v>89866.98</v>
      </c>
      <c r="K3520" s="25">
        <f t="shared" ref="K3520:K3529" si="682">+G3520-H3520-I3520-J3520</f>
        <v>9622979.0299999993</v>
      </c>
      <c r="L3520" s="95">
        <f>+L3518-G3520</f>
        <v>96250000</v>
      </c>
      <c r="M3520" s="96"/>
      <c r="N3520" s="96"/>
      <c r="P3520" s="55">
        <v>1036610111</v>
      </c>
      <c r="Q3520" s="127">
        <v>44256</v>
      </c>
      <c r="R3520" s="14">
        <v>525000</v>
      </c>
      <c r="S3520" s="14">
        <v>714000</v>
      </c>
      <c r="U3520" s="3"/>
    </row>
    <row r="3521" spans="1:24" ht="15" hidden="1" x14ac:dyDescent="0.25">
      <c r="B3521" s="89">
        <v>44328.083333333336</v>
      </c>
      <c r="C3521" s="92" t="s">
        <v>3294</v>
      </c>
      <c r="D3521" s="23"/>
      <c r="E3521" s="91">
        <v>10500000</v>
      </c>
      <c r="F3521" s="93"/>
      <c r="G3521" s="93">
        <f t="shared" si="680"/>
        <v>10500000</v>
      </c>
      <c r="H3521" s="94"/>
      <c r="I3521" s="94">
        <v>787153.99</v>
      </c>
      <c r="J3521" s="91">
        <v>89866.98</v>
      </c>
      <c r="K3521" s="25">
        <f t="shared" si="682"/>
        <v>9622979.0299999993</v>
      </c>
      <c r="L3521" s="95">
        <f t="shared" si="681"/>
        <v>85750000</v>
      </c>
      <c r="M3521" s="20">
        <v>10500000</v>
      </c>
      <c r="N3521" s="20">
        <f>+G3521-M3521</f>
        <v>0</v>
      </c>
      <c r="P3521" s="55">
        <v>1037348861</v>
      </c>
      <c r="Q3521" s="127">
        <v>44287</v>
      </c>
      <c r="R3521" s="14">
        <v>525000</v>
      </c>
      <c r="S3521" s="14">
        <v>714000</v>
      </c>
      <c r="U3521" s="3">
        <f>+U3518*12.5%</f>
        <v>5687500</v>
      </c>
      <c r="V3521" s="172" t="s">
        <v>2769</v>
      </c>
    </row>
    <row r="3522" spans="1:24" ht="15" hidden="1" x14ac:dyDescent="0.25">
      <c r="B3522" s="89">
        <v>44357.083333333336</v>
      </c>
      <c r="C3522" s="92" t="s">
        <v>3295</v>
      </c>
      <c r="D3522" s="23"/>
      <c r="E3522" s="91">
        <v>10500000</v>
      </c>
      <c r="F3522" s="93"/>
      <c r="G3522" s="93">
        <f t="shared" si="680"/>
        <v>10500000</v>
      </c>
      <c r="H3522" s="94"/>
      <c r="I3522" s="94">
        <v>787153.99</v>
      </c>
      <c r="J3522" s="91">
        <v>89866.98</v>
      </c>
      <c r="K3522" s="25">
        <f t="shared" si="682"/>
        <v>9622979.0299999993</v>
      </c>
      <c r="L3522" s="95">
        <f t="shared" si="681"/>
        <v>75250000</v>
      </c>
      <c r="M3522" s="20"/>
      <c r="N3522" s="20"/>
      <c r="P3522" s="84">
        <v>1037976035</v>
      </c>
      <c r="Q3522" s="174">
        <v>44317</v>
      </c>
      <c r="R3522" s="14">
        <v>525000</v>
      </c>
      <c r="S3522" s="14">
        <v>714000</v>
      </c>
      <c r="U3522" s="3">
        <f>+U3518*16%</f>
        <v>7280000</v>
      </c>
      <c r="V3522" s="173" t="s">
        <v>2771</v>
      </c>
    </row>
    <row r="3523" spans="1:24" ht="15" hidden="1" x14ac:dyDescent="0.25">
      <c r="B3523" s="89">
        <v>44386.083333333336</v>
      </c>
      <c r="C3523" s="92" t="s">
        <v>3296</v>
      </c>
      <c r="D3523" s="23"/>
      <c r="E3523" s="91">
        <v>10500000</v>
      </c>
      <c r="F3523" s="93"/>
      <c r="G3523" s="93">
        <f t="shared" si="680"/>
        <v>10500000</v>
      </c>
      <c r="H3523" s="94"/>
      <c r="I3523" s="94">
        <v>787153.99</v>
      </c>
      <c r="J3523" s="91">
        <v>89866.98</v>
      </c>
      <c r="K3523" s="25">
        <f t="shared" si="682"/>
        <v>9622979.0299999993</v>
      </c>
      <c r="L3523" s="95">
        <f t="shared" si="681"/>
        <v>64750000</v>
      </c>
      <c r="M3523" s="20"/>
      <c r="N3523" s="20"/>
      <c r="P3523" s="84">
        <v>1038582394</v>
      </c>
      <c r="Q3523" s="174">
        <v>44348</v>
      </c>
      <c r="R3523" s="14">
        <v>525000</v>
      </c>
      <c r="S3523" s="14">
        <v>714000</v>
      </c>
    </row>
    <row r="3524" spans="1:24" ht="15" hidden="1" x14ac:dyDescent="0.25">
      <c r="B3524" s="89">
        <v>44419.083333333336</v>
      </c>
      <c r="C3524" s="92" t="s">
        <v>3297</v>
      </c>
      <c r="D3524" s="23"/>
      <c r="E3524" s="91">
        <v>10500000</v>
      </c>
      <c r="F3524" s="93"/>
      <c r="G3524" s="93">
        <f t="shared" si="680"/>
        <v>10500000</v>
      </c>
      <c r="H3524" s="94"/>
      <c r="I3524" s="94">
        <v>787153.99</v>
      </c>
      <c r="J3524" s="91">
        <v>89866.98</v>
      </c>
      <c r="K3524" s="25">
        <f t="shared" si="682"/>
        <v>9622979.0299999993</v>
      </c>
      <c r="L3524" s="95">
        <f t="shared" si="681"/>
        <v>54250000</v>
      </c>
      <c r="M3524" s="20"/>
      <c r="N3524" s="20"/>
      <c r="P3524" s="84">
        <v>1039284117</v>
      </c>
      <c r="Q3524" s="174">
        <v>44378</v>
      </c>
      <c r="R3524" s="14">
        <v>525000</v>
      </c>
      <c r="S3524" s="14">
        <v>714000</v>
      </c>
      <c r="W3524" s="31">
        <v>10500000</v>
      </c>
      <c r="X3524" s="131">
        <f>+E3524-W3524</f>
        <v>0</v>
      </c>
    </row>
    <row r="3525" spans="1:24" ht="15" hidden="1" x14ac:dyDescent="0.25">
      <c r="B3525" s="89">
        <v>44447.083333333336</v>
      </c>
      <c r="C3525" s="92" t="s">
        <v>3298</v>
      </c>
      <c r="D3525" s="23"/>
      <c r="E3525" s="91">
        <v>10500000</v>
      </c>
      <c r="F3525" s="93"/>
      <c r="G3525" s="93">
        <f t="shared" si="680"/>
        <v>10500000</v>
      </c>
      <c r="H3525" s="94"/>
      <c r="I3525" s="94">
        <v>787153.99</v>
      </c>
      <c r="J3525" s="91">
        <v>89866.98</v>
      </c>
      <c r="K3525" s="25">
        <f t="shared" si="682"/>
        <v>9622979.0299999993</v>
      </c>
      <c r="L3525" s="95">
        <f t="shared" si="681"/>
        <v>43750000</v>
      </c>
      <c r="M3525" s="20"/>
      <c r="N3525" s="20"/>
      <c r="P3525" s="84">
        <v>1040070464</v>
      </c>
      <c r="Q3525" s="174">
        <v>44409</v>
      </c>
      <c r="R3525" s="14">
        <v>525000</v>
      </c>
      <c r="S3525" s="14">
        <v>714000</v>
      </c>
      <c r="W3525" s="31"/>
      <c r="X3525" s="131"/>
    </row>
    <row r="3526" spans="1:24" ht="15" hidden="1" x14ac:dyDescent="0.25">
      <c r="B3526" s="89">
        <v>44480.083333333336</v>
      </c>
      <c r="C3526" s="92" t="s">
        <v>3299</v>
      </c>
      <c r="D3526" s="23"/>
      <c r="E3526" s="91">
        <v>10500000</v>
      </c>
      <c r="F3526" s="93"/>
      <c r="G3526" s="93">
        <f t="shared" si="680"/>
        <v>10500000</v>
      </c>
      <c r="H3526" s="94"/>
      <c r="I3526" s="94">
        <v>787153.99</v>
      </c>
      <c r="J3526" s="91">
        <v>89866.98</v>
      </c>
      <c r="K3526" s="25">
        <f t="shared" si="682"/>
        <v>9622979.0299999993</v>
      </c>
      <c r="L3526" s="95">
        <f t="shared" si="681"/>
        <v>33250000</v>
      </c>
      <c r="M3526" s="20"/>
      <c r="N3526" s="20"/>
      <c r="P3526" s="84">
        <v>1040625748</v>
      </c>
      <c r="Q3526" s="174">
        <v>44440</v>
      </c>
      <c r="R3526" s="14">
        <v>525000</v>
      </c>
      <c r="S3526" s="14">
        <v>714000</v>
      </c>
      <c r="W3526" s="31"/>
      <c r="X3526" s="131"/>
    </row>
    <row r="3527" spans="1:24" ht="15" hidden="1" x14ac:dyDescent="0.25">
      <c r="B3527" s="89">
        <v>44508.125</v>
      </c>
      <c r="C3527" s="92" t="s">
        <v>3300</v>
      </c>
      <c r="D3527" s="23"/>
      <c r="E3527" s="91">
        <v>10500000</v>
      </c>
      <c r="F3527" s="93"/>
      <c r="G3527" s="93">
        <f t="shared" si="680"/>
        <v>10500000</v>
      </c>
      <c r="H3527" s="94"/>
      <c r="I3527" s="94">
        <v>787153.99</v>
      </c>
      <c r="J3527" s="91">
        <v>89866.98</v>
      </c>
      <c r="K3527" s="25">
        <f t="shared" si="682"/>
        <v>9622979.0299999993</v>
      </c>
      <c r="L3527" s="95">
        <f t="shared" si="681"/>
        <v>22750000</v>
      </c>
      <c r="M3527" s="20"/>
      <c r="N3527" s="20"/>
      <c r="P3527" s="84">
        <v>1041295318</v>
      </c>
      <c r="Q3527" s="174">
        <v>44470</v>
      </c>
      <c r="R3527" s="14">
        <v>525000</v>
      </c>
      <c r="S3527" s="14">
        <v>714000</v>
      </c>
      <c r="W3527" s="31"/>
      <c r="X3527" s="131"/>
    </row>
    <row r="3528" spans="1:24" ht="15" hidden="1" x14ac:dyDescent="0.25">
      <c r="B3528" s="89">
        <v>44540.125</v>
      </c>
      <c r="C3528" s="92" t="s">
        <v>3301</v>
      </c>
      <c r="D3528" s="23"/>
      <c r="E3528" s="91">
        <v>10500000</v>
      </c>
      <c r="F3528" s="93"/>
      <c r="G3528" s="93">
        <f t="shared" si="680"/>
        <v>10500000</v>
      </c>
      <c r="H3528" s="94"/>
      <c r="I3528" s="94">
        <v>787153.99</v>
      </c>
      <c r="J3528" s="91">
        <v>89866.98</v>
      </c>
      <c r="K3528" s="25">
        <f t="shared" si="682"/>
        <v>9622979.0299999993</v>
      </c>
      <c r="L3528" s="95">
        <f t="shared" si="681"/>
        <v>12250000</v>
      </c>
      <c r="M3528" s="20"/>
      <c r="N3528" s="20"/>
      <c r="P3528" s="84">
        <v>1041992516</v>
      </c>
      <c r="Q3528" s="174">
        <v>44501</v>
      </c>
      <c r="R3528" s="14">
        <v>525000</v>
      </c>
      <c r="S3528" s="14">
        <v>714000</v>
      </c>
      <c r="W3528" s="31"/>
      <c r="X3528" s="131"/>
    </row>
    <row r="3529" spans="1:24" ht="15" hidden="1" x14ac:dyDescent="0.25">
      <c r="B3529" s="89">
        <v>44559.125</v>
      </c>
      <c r="C3529" s="92" t="s">
        <v>3302</v>
      </c>
      <c r="D3529" s="23"/>
      <c r="E3529" s="91">
        <v>10500000</v>
      </c>
      <c r="F3529" s="93"/>
      <c r="G3529" s="93">
        <f t="shared" si="680"/>
        <v>10500000</v>
      </c>
      <c r="H3529" s="94"/>
      <c r="I3529" s="94">
        <v>787153.99</v>
      </c>
      <c r="J3529" s="91">
        <v>89866.98</v>
      </c>
      <c r="K3529" s="25">
        <f t="shared" si="682"/>
        <v>9622979.0299999993</v>
      </c>
      <c r="L3529" s="95">
        <f t="shared" si="681"/>
        <v>1750000</v>
      </c>
      <c r="M3529" s="20"/>
      <c r="N3529" s="20"/>
      <c r="P3529" s="84">
        <v>1042224308</v>
      </c>
      <c r="Q3529" s="174">
        <v>44531</v>
      </c>
      <c r="R3529" s="14">
        <v>525000</v>
      </c>
      <c r="S3529" s="14">
        <v>714000</v>
      </c>
      <c r="W3529" s="31"/>
      <c r="X3529" s="131"/>
    </row>
    <row r="3530" spans="1:24" ht="15" hidden="1" x14ac:dyDescent="0.25">
      <c r="B3530" s="89"/>
      <c r="C3530" s="92"/>
      <c r="D3530" s="23"/>
      <c r="E3530" s="91"/>
      <c r="F3530" s="93"/>
      <c r="G3530" s="93"/>
      <c r="H3530" s="94"/>
      <c r="I3530" s="94"/>
      <c r="J3530" s="91"/>
      <c r="K3530" s="25"/>
      <c r="L3530" s="95"/>
      <c r="M3530" s="20"/>
      <c r="N3530" s="20"/>
      <c r="P3530" s="84"/>
      <c r="Q3530" s="174"/>
      <c r="R3530" s="177">
        <f>SUM(R3518:R3529)</f>
        <v>5687500</v>
      </c>
      <c r="S3530" s="178">
        <f>SUM(S3518:S3529)</f>
        <v>7700000</v>
      </c>
      <c r="W3530" s="31"/>
      <c r="X3530" s="131"/>
    </row>
    <row r="3531" spans="1:24" ht="15" hidden="1" x14ac:dyDescent="0.25">
      <c r="A3531" s="21">
        <v>2662021</v>
      </c>
      <c r="B3531" s="139" t="s">
        <v>3303</v>
      </c>
      <c r="C3531" s="140"/>
      <c r="D3531" s="141">
        <v>55791667</v>
      </c>
      <c r="E3531" s="141">
        <f>+D3531</f>
        <v>55791667</v>
      </c>
      <c r="F3531" s="141"/>
      <c r="G3531" s="141"/>
      <c r="H3531" s="141"/>
      <c r="I3531" s="141"/>
      <c r="J3531" s="141"/>
      <c r="K3531" s="141"/>
      <c r="L3531" s="141">
        <f>+D3531</f>
        <v>55791667</v>
      </c>
      <c r="M3531" s="142"/>
      <c r="N3531" s="142"/>
      <c r="O3531" s="149">
        <f>+VLOOKUP(A3531,'[1]ANEXO 7 - PPTO VIG 2021'!$H$8:$AB$160,21,)-L3542</f>
        <v>-1201667</v>
      </c>
    </row>
    <row r="3532" spans="1:24" ht="15" hidden="1" x14ac:dyDescent="0.25">
      <c r="B3532" s="89">
        <v>44271.083333333336</v>
      </c>
      <c r="C3532" s="92" t="s">
        <v>3304</v>
      </c>
      <c r="D3532" s="23"/>
      <c r="E3532" s="91">
        <v>3090000</v>
      </c>
      <c r="F3532" s="93"/>
      <c r="G3532" s="93">
        <f t="shared" ref="G3532:G3542" si="683">+E3532</f>
        <v>3090000</v>
      </c>
      <c r="H3532" s="94"/>
      <c r="I3532" s="94"/>
      <c r="J3532" s="91">
        <v>26446.57</v>
      </c>
      <c r="K3532" s="25">
        <f t="shared" ref="K3532:K3542" si="684">+G3532-H3532-I3532-J3532</f>
        <v>3063553.43</v>
      </c>
      <c r="L3532" s="95">
        <f t="shared" ref="L3532:L3537" si="685">+L3531-G3532</f>
        <v>52701667</v>
      </c>
      <c r="M3532" s="96"/>
      <c r="N3532" s="96"/>
      <c r="P3532" s="21">
        <v>1036088897</v>
      </c>
      <c r="Q3532" s="127">
        <v>44228</v>
      </c>
      <c r="R3532" s="14">
        <v>154500</v>
      </c>
      <c r="S3532" s="14">
        <v>197800</v>
      </c>
      <c r="T3532" s="3">
        <f>+L3531-1201667</f>
        <v>54590000</v>
      </c>
      <c r="U3532" s="3">
        <f>+T3532*40%</f>
        <v>21836000</v>
      </c>
    </row>
    <row r="3533" spans="1:24" ht="15" hidden="1" x14ac:dyDescent="0.25">
      <c r="B3533" s="89">
        <v>44299.083333333336</v>
      </c>
      <c r="C3533" s="92" t="s">
        <v>3305</v>
      </c>
      <c r="D3533" s="23"/>
      <c r="E3533" s="91">
        <v>5150000</v>
      </c>
      <c r="F3533" s="93"/>
      <c r="G3533" s="93">
        <f t="shared" si="683"/>
        <v>5150000</v>
      </c>
      <c r="H3533" s="94"/>
      <c r="I3533" s="94"/>
      <c r="J3533" s="91">
        <v>44077.61</v>
      </c>
      <c r="K3533" s="25">
        <f t="shared" si="684"/>
        <v>5105922.3899999997</v>
      </c>
      <c r="L3533" s="95">
        <f t="shared" si="685"/>
        <v>47551667</v>
      </c>
      <c r="M3533" s="96"/>
      <c r="N3533" s="96"/>
      <c r="P3533" s="55">
        <v>1036584319</v>
      </c>
      <c r="Q3533" s="127">
        <v>44256</v>
      </c>
      <c r="R3533" s="14">
        <v>257500</v>
      </c>
      <c r="S3533" s="14">
        <v>329600</v>
      </c>
      <c r="U3533" s="3"/>
    </row>
    <row r="3534" spans="1:24" ht="15" hidden="1" x14ac:dyDescent="0.25">
      <c r="B3534" s="89">
        <v>44328.083333333336</v>
      </c>
      <c r="C3534" s="92" t="s">
        <v>3306</v>
      </c>
      <c r="D3534" s="23"/>
      <c r="E3534" s="91">
        <v>5150000</v>
      </c>
      <c r="F3534" s="93"/>
      <c r="G3534" s="93">
        <f t="shared" si="683"/>
        <v>5150000</v>
      </c>
      <c r="H3534" s="94"/>
      <c r="I3534" s="94"/>
      <c r="J3534" s="91">
        <v>44077.61</v>
      </c>
      <c r="K3534" s="25">
        <f t="shared" si="684"/>
        <v>5105922.3899999997</v>
      </c>
      <c r="L3534" s="95">
        <f t="shared" si="685"/>
        <v>42401667</v>
      </c>
      <c r="M3534" s="20">
        <v>5150000</v>
      </c>
      <c r="N3534" s="20">
        <f>+G3534-M3534</f>
        <v>0</v>
      </c>
      <c r="P3534" s="55">
        <v>956044213</v>
      </c>
      <c r="Q3534" s="127">
        <v>44287</v>
      </c>
      <c r="R3534" s="14">
        <v>257500</v>
      </c>
      <c r="S3534" s="14">
        <v>329600</v>
      </c>
      <c r="U3534" s="185">
        <f>+U3532*12.5%</f>
        <v>2729500</v>
      </c>
      <c r="V3534" s="172" t="s">
        <v>2769</v>
      </c>
    </row>
    <row r="3535" spans="1:24" ht="15" hidden="1" x14ac:dyDescent="0.25">
      <c r="B3535" s="89">
        <v>44358.083333333336</v>
      </c>
      <c r="C3535" s="92" t="s">
        <v>3307</v>
      </c>
      <c r="D3535" s="23"/>
      <c r="E3535" s="91">
        <v>5150000</v>
      </c>
      <c r="F3535" s="93"/>
      <c r="G3535" s="93">
        <f t="shared" si="683"/>
        <v>5150000</v>
      </c>
      <c r="H3535" s="94"/>
      <c r="I3535" s="94"/>
      <c r="J3535" s="91">
        <v>44077.61</v>
      </c>
      <c r="K3535" s="25">
        <f t="shared" si="684"/>
        <v>5105922.3899999997</v>
      </c>
      <c r="L3535" s="95">
        <f t="shared" si="685"/>
        <v>37251667</v>
      </c>
      <c r="M3535" s="20"/>
      <c r="N3535" s="20"/>
      <c r="P3535" s="55">
        <v>1037175451</v>
      </c>
      <c r="Q3535" s="127">
        <v>44317</v>
      </c>
      <c r="R3535" s="14">
        <v>257500</v>
      </c>
      <c r="S3535" s="14">
        <v>329600</v>
      </c>
      <c r="U3535" s="99">
        <f>+U3532*16%</f>
        <v>3493760</v>
      </c>
      <c r="V3535" s="173" t="s">
        <v>2771</v>
      </c>
    </row>
    <row r="3536" spans="1:24" ht="15" hidden="1" x14ac:dyDescent="0.25">
      <c r="B3536" s="89">
        <v>44385.083333333336</v>
      </c>
      <c r="C3536" s="92" t="s">
        <v>3308</v>
      </c>
      <c r="D3536" s="23"/>
      <c r="E3536" s="91">
        <v>5150000</v>
      </c>
      <c r="F3536" s="93"/>
      <c r="G3536" s="93">
        <f t="shared" si="683"/>
        <v>5150000</v>
      </c>
      <c r="H3536" s="94"/>
      <c r="I3536" s="94"/>
      <c r="J3536" s="91">
        <v>44077.61</v>
      </c>
      <c r="K3536" s="25">
        <f t="shared" si="684"/>
        <v>5105922.3899999997</v>
      </c>
      <c r="L3536" s="95">
        <f t="shared" si="685"/>
        <v>32101667</v>
      </c>
      <c r="M3536" s="20"/>
      <c r="N3536" s="20"/>
      <c r="P3536" s="55">
        <v>1038061451</v>
      </c>
      <c r="Q3536" s="127">
        <v>44348</v>
      </c>
      <c r="R3536" s="14">
        <v>257500</v>
      </c>
      <c r="S3536" s="14">
        <v>329600</v>
      </c>
    </row>
    <row r="3537" spans="1:24" ht="15" hidden="1" x14ac:dyDescent="0.25">
      <c r="B3537" s="89">
        <v>44419.083333333336</v>
      </c>
      <c r="C3537" s="92" t="s">
        <v>3309</v>
      </c>
      <c r="D3537" s="23"/>
      <c r="E3537" s="91">
        <v>5150000</v>
      </c>
      <c r="F3537" s="93"/>
      <c r="G3537" s="93">
        <f t="shared" si="683"/>
        <v>5150000</v>
      </c>
      <c r="H3537" s="94"/>
      <c r="I3537" s="94"/>
      <c r="J3537" s="91">
        <v>44077.61</v>
      </c>
      <c r="K3537" s="25">
        <f t="shared" si="684"/>
        <v>5105922.3899999997</v>
      </c>
      <c r="L3537" s="95">
        <f t="shared" si="685"/>
        <v>26951667</v>
      </c>
      <c r="M3537" s="20"/>
      <c r="N3537" s="20"/>
      <c r="P3537" s="55">
        <v>1038459710</v>
      </c>
      <c r="Q3537" s="127">
        <v>44378</v>
      </c>
      <c r="R3537" s="14">
        <v>257500</v>
      </c>
      <c r="S3537" s="14">
        <v>329600</v>
      </c>
      <c r="W3537" s="31">
        <v>5150000</v>
      </c>
      <c r="X3537" s="131">
        <f>+E3537-W3537</f>
        <v>0</v>
      </c>
    </row>
    <row r="3538" spans="1:24" ht="15" hidden="1" x14ac:dyDescent="0.25">
      <c r="B3538" s="89">
        <v>44447.083333333336</v>
      </c>
      <c r="C3538" s="92" t="s">
        <v>3310</v>
      </c>
      <c r="D3538" s="23"/>
      <c r="E3538" s="91">
        <v>5150000</v>
      </c>
      <c r="F3538" s="93"/>
      <c r="G3538" s="93">
        <f t="shared" si="683"/>
        <v>5150000</v>
      </c>
      <c r="H3538" s="94"/>
      <c r="I3538" s="94"/>
      <c r="J3538" s="91">
        <v>44077.61</v>
      </c>
      <c r="K3538" s="25">
        <f t="shared" si="684"/>
        <v>5105922.3899999997</v>
      </c>
      <c r="L3538" s="95">
        <f>+L3537-G3538</f>
        <v>21801667</v>
      </c>
      <c r="M3538" s="20"/>
      <c r="N3538" s="20"/>
      <c r="P3538" s="84">
        <v>1039124518</v>
      </c>
      <c r="Q3538" s="127">
        <v>44409</v>
      </c>
      <c r="R3538" s="14">
        <v>257500</v>
      </c>
      <c r="S3538" s="14">
        <v>329600</v>
      </c>
      <c r="W3538" s="31"/>
      <c r="X3538" s="131"/>
    </row>
    <row r="3539" spans="1:24" ht="15" hidden="1" x14ac:dyDescent="0.25">
      <c r="B3539" s="89">
        <v>44482.083333333336</v>
      </c>
      <c r="C3539" s="92" t="s">
        <v>3311</v>
      </c>
      <c r="D3539" s="23"/>
      <c r="E3539" s="91">
        <v>5150000</v>
      </c>
      <c r="F3539" s="93"/>
      <c r="G3539" s="93">
        <f t="shared" si="683"/>
        <v>5150000</v>
      </c>
      <c r="H3539" s="94"/>
      <c r="I3539" s="94"/>
      <c r="J3539" s="91">
        <v>44077.61</v>
      </c>
      <c r="K3539" s="25">
        <f t="shared" si="684"/>
        <v>5105922.3899999997</v>
      </c>
      <c r="L3539" s="95">
        <f>+L3538-G3539</f>
        <v>16651667</v>
      </c>
      <c r="M3539" s="20"/>
      <c r="N3539" s="20"/>
      <c r="P3539" s="84">
        <v>1039873484</v>
      </c>
      <c r="Q3539" s="127">
        <v>44440</v>
      </c>
      <c r="R3539" s="14">
        <v>257500</v>
      </c>
      <c r="S3539" s="14">
        <v>329600</v>
      </c>
      <c r="W3539" s="31"/>
      <c r="X3539" s="131"/>
    </row>
    <row r="3540" spans="1:24" ht="15" hidden="1" x14ac:dyDescent="0.25">
      <c r="B3540" s="89">
        <v>44512.125</v>
      </c>
      <c r="C3540" s="92" t="s">
        <v>3312</v>
      </c>
      <c r="D3540" s="23"/>
      <c r="E3540" s="91">
        <v>5150000</v>
      </c>
      <c r="F3540" s="93"/>
      <c r="G3540" s="93">
        <f t="shared" si="683"/>
        <v>5150000</v>
      </c>
      <c r="H3540" s="94"/>
      <c r="I3540" s="94"/>
      <c r="J3540" s="91">
        <v>44077.61</v>
      </c>
      <c r="K3540" s="25">
        <f t="shared" si="684"/>
        <v>5105922.3899999997</v>
      </c>
      <c r="L3540" s="95">
        <f>+L3539-G3540</f>
        <v>11501667</v>
      </c>
      <c r="M3540" s="20"/>
      <c r="N3540" s="20"/>
      <c r="P3540" s="84">
        <v>1040474910</v>
      </c>
      <c r="Q3540" s="127">
        <v>44470</v>
      </c>
      <c r="R3540" s="14">
        <v>257500</v>
      </c>
      <c r="S3540" s="14">
        <v>329600</v>
      </c>
      <c r="W3540" s="31"/>
      <c r="X3540" s="131"/>
    </row>
    <row r="3541" spans="1:24" ht="15" hidden="1" x14ac:dyDescent="0.25">
      <c r="B3541" s="89">
        <v>44543.125</v>
      </c>
      <c r="C3541" s="92" t="s">
        <v>3313</v>
      </c>
      <c r="D3541" s="23"/>
      <c r="E3541" s="91">
        <v>5150000</v>
      </c>
      <c r="F3541" s="93"/>
      <c r="G3541" s="93">
        <f t="shared" si="683"/>
        <v>5150000</v>
      </c>
      <c r="H3541" s="94"/>
      <c r="I3541" s="94"/>
      <c r="J3541" s="91">
        <v>44077.61</v>
      </c>
      <c r="K3541" s="25">
        <f t="shared" si="684"/>
        <v>5105922.3899999997</v>
      </c>
      <c r="L3541" s="95">
        <f>+L3540-G3541</f>
        <v>6351667</v>
      </c>
      <c r="M3541" s="20"/>
      <c r="N3541" s="20"/>
      <c r="P3541" s="84">
        <v>1041094863</v>
      </c>
      <c r="Q3541" s="127">
        <v>44501</v>
      </c>
      <c r="R3541" s="14">
        <v>257500</v>
      </c>
      <c r="S3541" s="14">
        <v>329600</v>
      </c>
      <c r="W3541" s="31"/>
      <c r="X3541" s="131"/>
    </row>
    <row r="3542" spans="1:24" ht="15" hidden="1" x14ac:dyDescent="0.25">
      <c r="B3542" s="89">
        <v>44550.125</v>
      </c>
      <c r="C3542" s="92" t="s">
        <v>3314</v>
      </c>
      <c r="D3542" s="23"/>
      <c r="E3542" s="91">
        <v>5150000</v>
      </c>
      <c r="F3542" s="93"/>
      <c r="G3542" s="93">
        <f t="shared" si="683"/>
        <v>5150000</v>
      </c>
      <c r="H3542" s="94"/>
      <c r="I3542" s="94"/>
      <c r="J3542" s="91">
        <v>44077.61</v>
      </c>
      <c r="K3542" s="25">
        <f t="shared" si="684"/>
        <v>5105922.3899999997</v>
      </c>
      <c r="L3542" s="95">
        <f>+L3541-G3542</f>
        <v>1201667</v>
      </c>
      <c r="M3542" s="20"/>
      <c r="N3542" s="20"/>
      <c r="P3542" s="84">
        <v>1042318984</v>
      </c>
      <c r="Q3542" s="127">
        <v>44531</v>
      </c>
      <c r="R3542" s="14">
        <v>257500</v>
      </c>
      <c r="S3542" s="14">
        <v>329600</v>
      </c>
      <c r="W3542" s="31"/>
      <c r="X3542" s="131"/>
    </row>
    <row r="3543" spans="1:24" ht="15" hidden="1" x14ac:dyDescent="0.25">
      <c r="B3543" s="89"/>
      <c r="C3543" s="92"/>
      <c r="D3543" s="23"/>
      <c r="E3543" s="91"/>
      <c r="F3543" s="93"/>
      <c r="G3543" s="93"/>
      <c r="H3543" s="94"/>
      <c r="I3543" s="94"/>
      <c r="J3543" s="91"/>
      <c r="K3543" s="25"/>
      <c r="L3543" s="95"/>
      <c r="M3543" s="20"/>
      <c r="N3543" s="20"/>
      <c r="P3543" s="84"/>
      <c r="Q3543" s="174"/>
      <c r="R3543" s="177">
        <f>SUM(R3532:R3542)</f>
        <v>2729500</v>
      </c>
      <c r="S3543" s="178">
        <f>SUM(S3532:S3542)</f>
        <v>3493800</v>
      </c>
      <c r="W3543" s="31"/>
      <c r="X3543" s="131"/>
    </row>
    <row r="3544" spans="1:24" ht="15" hidden="1" x14ac:dyDescent="0.25">
      <c r="A3544" s="21">
        <v>2632021</v>
      </c>
      <c r="B3544" s="139" t="s">
        <v>3315</v>
      </c>
      <c r="C3544" s="140"/>
      <c r="D3544" s="141">
        <v>56533333</v>
      </c>
      <c r="E3544" s="141">
        <f>+D3544</f>
        <v>56533333</v>
      </c>
      <c r="F3544" s="141"/>
      <c r="G3544" s="141"/>
      <c r="H3544" s="141"/>
      <c r="I3544" s="141"/>
      <c r="J3544" s="141"/>
      <c r="K3544" s="141"/>
      <c r="L3544" s="141">
        <f>+D3544</f>
        <v>56533333</v>
      </c>
      <c r="M3544" s="142"/>
      <c r="N3544" s="142"/>
      <c r="O3544" s="149">
        <f>+VLOOKUP(A3544,'[1]ANEXO 7 - PPTO VIG 2021'!$H$8:$AB$160,21,)-L3556</f>
        <v>-353333</v>
      </c>
    </row>
    <row r="3545" spans="1:24" ht="15" hidden="1" x14ac:dyDescent="0.25">
      <c r="B3545" s="89">
        <v>44267.125</v>
      </c>
      <c r="C3545" s="92" t="s">
        <v>3316</v>
      </c>
      <c r="D3545" s="23"/>
      <c r="E3545" s="91">
        <v>3180000</v>
      </c>
      <c r="F3545" s="93"/>
      <c r="G3545" s="93">
        <f t="shared" ref="G3545:G3556" si="686">+E3545</f>
        <v>3180000</v>
      </c>
      <c r="H3545" s="94"/>
      <c r="I3545" s="94"/>
      <c r="J3545" s="91">
        <v>27216.86</v>
      </c>
      <c r="K3545" s="25">
        <f t="shared" ref="K3545:K3556" si="687">+G3545-H3545-I3545-J3545</f>
        <v>3152783.14</v>
      </c>
      <c r="L3545" s="95">
        <f t="shared" ref="L3545:L3556" si="688">+L3544-G3545</f>
        <v>53353333</v>
      </c>
      <c r="M3545" s="96"/>
      <c r="N3545" s="96"/>
      <c r="P3545" s="21">
        <v>9416517408</v>
      </c>
      <c r="Q3545" s="127">
        <v>44228</v>
      </c>
      <c r="R3545" s="14">
        <v>260000</v>
      </c>
      <c r="S3545" s="14">
        <v>332800</v>
      </c>
      <c r="T3545" s="3">
        <f>+L3544-353333+3533333</f>
        <v>59713333</v>
      </c>
      <c r="U3545" s="3">
        <f>+T3545*40%</f>
        <v>23885333.200000003</v>
      </c>
    </row>
    <row r="3546" spans="1:24" ht="15" hidden="1" x14ac:dyDescent="0.25">
      <c r="B3546" s="89">
        <v>44299.083333333336</v>
      </c>
      <c r="C3546" s="92" t="s">
        <v>3317</v>
      </c>
      <c r="D3546" s="23"/>
      <c r="E3546" s="91">
        <v>5300000</v>
      </c>
      <c r="F3546" s="93"/>
      <c r="G3546" s="93">
        <f t="shared" si="686"/>
        <v>5300000</v>
      </c>
      <c r="H3546" s="94"/>
      <c r="I3546" s="94"/>
      <c r="J3546" s="91">
        <v>45361.43</v>
      </c>
      <c r="K3546" s="25">
        <f t="shared" si="687"/>
        <v>5254638.57</v>
      </c>
      <c r="L3546" s="95">
        <f t="shared" si="688"/>
        <v>48053333</v>
      </c>
      <c r="M3546" s="96"/>
      <c r="N3546" s="96"/>
      <c r="P3546" s="55">
        <v>9417525143</v>
      </c>
      <c r="Q3546" s="127">
        <v>44256</v>
      </c>
      <c r="R3546" s="14">
        <v>265000</v>
      </c>
      <c r="S3546" s="14">
        <v>339200</v>
      </c>
      <c r="U3546" s="3"/>
    </row>
    <row r="3547" spans="1:24" ht="15" hidden="1" x14ac:dyDescent="0.25">
      <c r="B3547" s="89">
        <v>44322.083333333336</v>
      </c>
      <c r="C3547" s="92" t="s">
        <v>3318</v>
      </c>
      <c r="D3547" s="23"/>
      <c r="E3547" s="91">
        <v>5300000</v>
      </c>
      <c r="F3547" s="93"/>
      <c r="G3547" s="93">
        <f t="shared" si="686"/>
        <v>5300000</v>
      </c>
      <c r="H3547" s="94"/>
      <c r="I3547" s="94"/>
      <c r="J3547" s="91">
        <v>45361.43</v>
      </c>
      <c r="K3547" s="25">
        <f t="shared" si="687"/>
        <v>5254638.57</v>
      </c>
      <c r="L3547" s="95">
        <f t="shared" si="688"/>
        <v>42753333</v>
      </c>
      <c r="M3547" s="20">
        <v>5300000</v>
      </c>
      <c r="N3547" s="20">
        <f>+G3547-M3547</f>
        <v>0</v>
      </c>
      <c r="P3547" s="55">
        <v>9418606118</v>
      </c>
      <c r="Q3547" s="127">
        <v>44287</v>
      </c>
      <c r="R3547" s="14">
        <v>265000</v>
      </c>
      <c r="S3547" s="14">
        <v>339200</v>
      </c>
      <c r="U3547" s="3">
        <f>+U3545*12.5%</f>
        <v>2985666.6500000004</v>
      </c>
      <c r="V3547" s="172" t="s">
        <v>2769</v>
      </c>
    </row>
    <row r="3548" spans="1:24" ht="15" hidden="1" x14ac:dyDescent="0.25">
      <c r="B3548" s="89">
        <v>44356.083333333336</v>
      </c>
      <c r="C3548" s="92" t="s">
        <v>3319</v>
      </c>
      <c r="D3548" s="23"/>
      <c r="E3548" s="91">
        <v>5300000</v>
      </c>
      <c r="F3548" s="93"/>
      <c r="G3548" s="93">
        <f t="shared" si="686"/>
        <v>5300000</v>
      </c>
      <c r="H3548" s="94"/>
      <c r="I3548" s="94"/>
      <c r="J3548" s="91">
        <v>45361.43</v>
      </c>
      <c r="K3548" s="25">
        <f t="shared" si="687"/>
        <v>5254638.57</v>
      </c>
      <c r="L3548" s="95">
        <f t="shared" si="688"/>
        <v>37453333</v>
      </c>
      <c r="M3548" s="20"/>
      <c r="N3548" s="20"/>
      <c r="P3548" s="84">
        <v>9419709356</v>
      </c>
      <c r="Q3548" s="174">
        <v>44317</v>
      </c>
      <c r="R3548" s="125">
        <v>265000</v>
      </c>
      <c r="S3548" s="125">
        <v>339200</v>
      </c>
      <c r="U3548" s="3">
        <f>+U3545*16%</f>
        <v>3821653.3120000004</v>
      </c>
      <c r="V3548" s="173" t="s">
        <v>2771</v>
      </c>
    </row>
    <row r="3549" spans="1:24" ht="15" hidden="1" x14ac:dyDescent="0.25">
      <c r="B3549" s="89">
        <v>44385.083333333336</v>
      </c>
      <c r="C3549" s="92" t="s">
        <v>3320</v>
      </c>
      <c r="D3549" s="23"/>
      <c r="E3549" s="91">
        <v>5300000</v>
      </c>
      <c r="F3549" s="93"/>
      <c r="G3549" s="93">
        <f t="shared" si="686"/>
        <v>5300000</v>
      </c>
      <c r="H3549" s="94"/>
      <c r="I3549" s="94"/>
      <c r="J3549" s="91">
        <v>45361.43</v>
      </c>
      <c r="K3549" s="25">
        <f t="shared" si="687"/>
        <v>5254638.57</v>
      </c>
      <c r="L3549" s="95">
        <f t="shared" si="688"/>
        <v>32153333</v>
      </c>
      <c r="M3549" s="20"/>
      <c r="N3549" s="20"/>
      <c r="P3549" s="84">
        <v>9420991113</v>
      </c>
      <c r="Q3549" s="174">
        <v>44348</v>
      </c>
      <c r="R3549" s="125">
        <v>265000</v>
      </c>
      <c r="S3549" s="125">
        <v>339200</v>
      </c>
    </row>
    <row r="3550" spans="1:24" ht="15" hidden="1" x14ac:dyDescent="0.25">
      <c r="B3550" s="89">
        <v>44420.083333333336</v>
      </c>
      <c r="C3550" s="92" t="s">
        <v>3321</v>
      </c>
      <c r="D3550" s="23"/>
      <c r="E3550" s="91">
        <v>5300000</v>
      </c>
      <c r="F3550" s="93"/>
      <c r="G3550" s="93">
        <f t="shared" si="686"/>
        <v>5300000</v>
      </c>
      <c r="H3550" s="94"/>
      <c r="I3550" s="94"/>
      <c r="J3550" s="91">
        <v>45361.43</v>
      </c>
      <c r="K3550" s="25">
        <f t="shared" si="687"/>
        <v>5254638.57</v>
      </c>
      <c r="L3550" s="95">
        <f t="shared" si="688"/>
        <v>26853333</v>
      </c>
      <c r="M3550" s="20"/>
      <c r="N3550" s="20"/>
      <c r="P3550" s="84">
        <v>9422129695</v>
      </c>
      <c r="Q3550" s="174">
        <v>44378</v>
      </c>
      <c r="R3550" s="125">
        <v>265000</v>
      </c>
      <c r="S3550" s="125">
        <v>339200</v>
      </c>
      <c r="W3550" s="31">
        <v>5300000</v>
      </c>
      <c r="X3550" s="131">
        <f>+E3550-W3550</f>
        <v>0</v>
      </c>
    </row>
    <row r="3551" spans="1:24" ht="15" hidden="1" x14ac:dyDescent="0.25">
      <c r="B3551" s="89">
        <v>44447.083333333336</v>
      </c>
      <c r="C3551" s="92" t="s">
        <v>3322</v>
      </c>
      <c r="D3551" s="23"/>
      <c r="E3551" s="91">
        <v>5300000</v>
      </c>
      <c r="F3551" s="93"/>
      <c r="G3551" s="93">
        <f t="shared" si="686"/>
        <v>5300000</v>
      </c>
      <c r="H3551" s="94"/>
      <c r="I3551" s="94"/>
      <c r="J3551" s="91">
        <v>45361.43</v>
      </c>
      <c r="K3551" s="25">
        <f t="shared" si="687"/>
        <v>5254638.57</v>
      </c>
      <c r="L3551" s="95">
        <f t="shared" si="688"/>
        <v>21553333</v>
      </c>
      <c r="M3551" s="20"/>
      <c r="N3551" s="20"/>
      <c r="P3551" s="84">
        <v>9423366338</v>
      </c>
      <c r="Q3551" s="174">
        <v>44409</v>
      </c>
      <c r="R3551" s="125">
        <v>265000</v>
      </c>
      <c r="S3551" s="125">
        <v>339200</v>
      </c>
      <c r="W3551" s="31"/>
      <c r="X3551" s="131"/>
    </row>
    <row r="3552" spans="1:24" ht="15" hidden="1" x14ac:dyDescent="0.25">
      <c r="B3552" s="89">
        <v>44480.083333333336</v>
      </c>
      <c r="C3552" s="92" t="s">
        <v>3323</v>
      </c>
      <c r="D3552" s="23"/>
      <c r="E3552" s="91">
        <v>5300000</v>
      </c>
      <c r="F3552" s="93"/>
      <c r="G3552" s="93">
        <f t="shared" si="686"/>
        <v>5300000</v>
      </c>
      <c r="H3552" s="94"/>
      <c r="I3552" s="94"/>
      <c r="J3552" s="91">
        <v>45361.43</v>
      </c>
      <c r="K3552" s="25">
        <f t="shared" si="687"/>
        <v>5254638.57</v>
      </c>
      <c r="L3552" s="95">
        <f t="shared" si="688"/>
        <v>16253333</v>
      </c>
      <c r="M3552" s="20"/>
      <c r="N3552" s="20"/>
      <c r="P3552" s="84">
        <v>9424468559</v>
      </c>
      <c r="Q3552" s="174">
        <v>44440</v>
      </c>
      <c r="R3552" s="125">
        <v>265000</v>
      </c>
      <c r="S3552" s="125">
        <v>339200</v>
      </c>
      <c r="W3552" s="31"/>
      <c r="X3552" s="131"/>
    </row>
    <row r="3553" spans="1:24" ht="15" hidden="1" x14ac:dyDescent="0.25">
      <c r="B3553" s="89">
        <v>44516.125</v>
      </c>
      <c r="C3553" s="92" t="s">
        <v>3324</v>
      </c>
      <c r="D3553" s="23"/>
      <c r="E3553" s="91">
        <v>5300000</v>
      </c>
      <c r="F3553" s="93"/>
      <c r="G3553" s="93">
        <f t="shared" si="686"/>
        <v>5300000</v>
      </c>
      <c r="H3553" s="94"/>
      <c r="I3553" s="94"/>
      <c r="J3553" s="91">
        <v>45361.43</v>
      </c>
      <c r="K3553" s="25">
        <f t="shared" si="687"/>
        <v>5254638.57</v>
      </c>
      <c r="L3553" s="95">
        <f t="shared" si="688"/>
        <v>10953333</v>
      </c>
      <c r="M3553" s="20"/>
      <c r="N3553" s="20"/>
      <c r="P3553" s="84">
        <v>9425972440</v>
      </c>
      <c r="Q3553" s="174">
        <v>44470</v>
      </c>
      <c r="R3553" s="125">
        <v>265000</v>
      </c>
      <c r="S3553" s="125">
        <v>339200</v>
      </c>
      <c r="W3553" s="31"/>
      <c r="X3553" s="131"/>
    </row>
    <row r="3554" spans="1:24" ht="15" hidden="1" x14ac:dyDescent="0.25">
      <c r="B3554" s="89">
        <v>44540.125</v>
      </c>
      <c r="C3554" s="92" t="s">
        <v>3325</v>
      </c>
      <c r="D3554" s="23"/>
      <c r="E3554" s="91">
        <v>5300000</v>
      </c>
      <c r="F3554" s="93"/>
      <c r="G3554" s="93">
        <f t="shared" si="686"/>
        <v>5300000</v>
      </c>
      <c r="H3554" s="94"/>
      <c r="I3554" s="94"/>
      <c r="J3554" s="91">
        <v>45361.43</v>
      </c>
      <c r="K3554" s="25">
        <f t="shared" si="687"/>
        <v>5254638.57</v>
      </c>
      <c r="L3554" s="95">
        <f t="shared" si="688"/>
        <v>5653333</v>
      </c>
      <c r="M3554" s="20"/>
      <c r="N3554" s="20"/>
      <c r="P3554" s="84">
        <v>9427108192</v>
      </c>
      <c r="Q3554" s="174">
        <v>44501</v>
      </c>
      <c r="R3554" s="125">
        <v>265000</v>
      </c>
      <c r="S3554" s="125">
        <v>339200</v>
      </c>
      <c r="W3554" s="31"/>
      <c r="X3554" s="131"/>
    </row>
    <row r="3555" spans="1:24" ht="15" hidden="1" x14ac:dyDescent="0.25">
      <c r="B3555" s="89">
        <v>44558.125</v>
      </c>
      <c r="C3555" s="92" t="s">
        <v>3326</v>
      </c>
      <c r="D3555" s="23"/>
      <c r="E3555" s="91">
        <v>1766667</v>
      </c>
      <c r="F3555" s="93"/>
      <c r="G3555" s="93">
        <f t="shared" si="686"/>
        <v>1766667</v>
      </c>
      <c r="H3555" s="94"/>
      <c r="I3555" s="94"/>
      <c r="J3555" s="91">
        <v>15120.48</v>
      </c>
      <c r="K3555" s="25">
        <f t="shared" si="687"/>
        <v>1751546.52</v>
      </c>
      <c r="L3555" s="95">
        <f t="shared" si="688"/>
        <v>3886666</v>
      </c>
      <c r="M3555" s="20"/>
      <c r="N3555" s="20"/>
      <c r="P3555" s="84">
        <v>9428262406</v>
      </c>
      <c r="Q3555" s="174">
        <v>44531</v>
      </c>
      <c r="R3555" s="125">
        <v>265000</v>
      </c>
      <c r="S3555" s="125">
        <v>339200</v>
      </c>
      <c r="W3555" s="31"/>
      <c r="X3555" s="131"/>
    </row>
    <row r="3556" spans="1:24" ht="15" hidden="1" x14ac:dyDescent="0.25">
      <c r="B3556" s="89">
        <v>44558.125</v>
      </c>
      <c r="C3556" s="92" t="s">
        <v>3327</v>
      </c>
      <c r="D3556" s="23"/>
      <c r="E3556" s="91">
        <v>3533333</v>
      </c>
      <c r="F3556" s="93"/>
      <c r="G3556" s="93">
        <f t="shared" si="686"/>
        <v>3533333</v>
      </c>
      <c r="H3556" s="94"/>
      <c r="I3556" s="94"/>
      <c r="J3556" s="91">
        <v>30240.95</v>
      </c>
      <c r="K3556" s="25">
        <f t="shared" si="687"/>
        <v>3503092.05</v>
      </c>
      <c r="L3556" s="95">
        <f t="shared" si="688"/>
        <v>353333</v>
      </c>
      <c r="M3556" s="20"/>
      <c r="N3556" s="20"/>
      <c r="P3556" s="84"/>
      <c r="Q3556" s="174"/>
      <c r="R3556" s="177">
        <f>SUM(R3545:R3555)</f>
        <v>2910000</v>
      </c>
      <c r="S3556" s="178">
        <f>SUM(S3545:S3555)</f>
        <v>3724800</v>
      </c>
      <c r="W3556" s="31"/>
      <c r="X3556" s="131"/>
    </row>
    <row r="3557" spans="1:24" ht="15" hidden="1" x14ac:dyDescent="0.25">
      <c r="B3557" s="89"/>
      <c r="C3557" s="92"/>
      <c r="D3557" s="23"/>
      <c r="E3557" s="91"/>
      <c r="F3557" s="93"/>
      <c r="G3557" s="93"/>
      <c r="H3557" s="94"/>
      <c r="I3557" s="94"/>
      <c r="J3557" s="91"/>
      <c r="K3557" s="25"/>
      <c r="L3557" s="95"/>
      <c r="M3557" s="20"/>
      <c r="N3557" s="20"/>
      <c r="P3557" s="84"/>
      <c r="Q3557" s="174"/>
      <c r="R3557" s="177"/>
      <c r="S3557" s="178"/>
      <c r="W3557" s="31"/>
      <c r="X3557" s="131"/>
    </row>
    <row r="3558" spans="1:24" ht="15" hidden="1" x14ac:dyDescent="0.25">
      <c r="A3558" s="21">
        <v>1712021</v>
      </c>
      <c r="B3558" s="139" t="s">
        <v>3328</v>
      </c>
      <c r="C3558" s="140"/>
      <c r="D3558" s="141">
        <v>47561280</v>
      </c>
      <c r="E3558" s="141">
        <f>+D3558</f>
        <v>47561280</v>
      </c>
      <c r="F3558" s="141"/>
      <c r="G3558" s="141"/>
      <c r="H3558" s="141"/>
      <c r="I3558" s="141"/>
      <c r="J3558" s="141"/>
      <c r="K3558" s="141"/>
      <c r="L3558" s="141">
        <f>+D3558</f>
        <v>47561280</v>
      </c>
      <c r="M3558" s="142"/>
      <c r="N3558" s="142"/>
      <c r="O3558" s="149">
        <f>+VLOOKUP(A3558,'[1]ANEXO 7 - PPTO VIG 2021'!$H$8:$AB$160,21,)-L3569</f>
        <v>-428480</v>
      </c>
    </row>
    <row r="3559" spans="1:24" ht="15" hidden="1" x14ac:dyDescent="0.25">
      <c r="B3559" s="89">
        <v>44259.125</v>
      </c>
      <c r="C3559" s="92" t="s">
        <v>3329</v>
      </c>
      <c r="D3559" s="23"/>
      <c r="E3559" s="91">
        <v>4284800</v>
      </c>
      <c r="F3559" s="93"/>
      <c r="G3559" s="93">
        <f t="shared" ref="G3559:G3569" si="689">+E3559</f>
        <v>4284800</v>
      </c>
      <c r="H3559" s="94"/>
      <c r="I3559" s="94"/>
      <c r="J3559" s="91">
        <v>36672.57</v>
      </c>
      <c r="K3559" s="25">
        <f t="shared" ref="K3559:K3569" si="690">+G3559-H3559-I3559-J3559</f>
        <v>4248127.43</v>
      </c>
      <c r="L3559" s="95">
        <f t="shared" ref="L3559:L3564" si="691">+L3558-G3559</f>
        <v>43276480</v>
      </c>
      <c r="M3559" s="96"/>
      <c r="N3559" s="96"/>
      <c r="P3559" s="21">
        <v>9416393174</v>
      </c>
      <c r="Q3559" s="127">
        <v>44228</v>
      </c>
      <c r="R3559" s="14">
        <v>402100</v>
      </c>
      <c r="S3559" s="14">
        <v>514600</v>
      </c>
      <c r="T3559" s="3">
        <f>+L3558-428480</f>
        <v>47132800</v>
      </c>
      <c r="U3559" s="3">
        <f>+T3559*40%</f>
        <v>18853120</v>
      </c>
    </row>
    <row r="3560" spans="1:24" ht="15" hidden="1" x14ac:dyDescent="0.25">
      <c r="B3560" s="89">
        <v>44293.083333333336</v>
      </c>
      <c r="C3560" s="92" t="s">
        <v>3330</v>
      </c>
      <c r="D3560" s="23"/>
      <c r="E3560" s="91">
        <v>4284800</v>
      </c>
      <c r="F3560" s="93"/>
      <c r="G3560" s="93">
        <f t="shared" si="689"/>
        <v>4284800</v>
      </c>
      <c r="H3560" s="94"/>
      <c r="I3560" s="94"/>
      <c r="J3560" s="91">
        <v>36672.57</v>
      </c>
      <c r="K3560" s="25">
        <f t="shared" si="690"/>
        <v>4248127.43</v>
      </c>
      <c r="L3560" s="95">
        <f t="shared" si="691"/>
        <v>38991680</v>
      </c>
      <c r="M3560" s="96"/>
      <c r="N3560" s="96"/>
      <c r="P3560" s="55">
        <v>9417025752</v>
      </c>
      <c r="Q3560" s="127">
        <v>44256</v>
      </c>
      <c r="R3560" s="14">
        <v>402100</v>
      </c>
      <c r="S3560" s="14">
        <v>514600</v>
      </c>
    </row>
    <row r="3561" spans="1:24" ht="15" hidden="1" x14ac:dyDescent="0.25">
      <c r="B3561" s="89">
        <v>44320.083333333336</v>
      </c>
      <c r="C3561" s="92" t="s">
        <v>3331</v>
      </c>
      <c r="D3561" s="23"/>
      <c r="E3561" s="91">
        <v>4284800</v>
      </c>
      <c r="F3561" s="93"/>
      <c r="G3561" s="93">
        <f t="shared" si="689"/>
        <v>4284800</v>
      </c>
      <c r="H3561" s="94"/>
      <c r="I3561" s="94"/>
      <c r="J3561" s="91">
        <v>36672.57</v>
      </c>
      <c r="K3561" s="25">
        <f t="shared" si="690"/>
        <v>4248127.43</v>
      </c>
      <c r="L3561" s="95">
        <f t="shared" si="691"/>
        <v>34706880</v>
      </c>
      <c r="M3561" s="20">
        <v>4284800</v>
      </c>
      <c r="N3561" s="20">
        <f>+G3561-M3561</f>
        <v>0</v>
      </c>
      <c r="P3561" s="21">
        <v>9418132870</v>
      </c>
      <c r="Q3561" s="127">
        <v>44287</v>
      </c>
      <c r="R3561" s="14">
        <v>402100</v>
      </c>
      <c r="S3561" s="14">
        <v>514600</v>
      </c>
      <c r="U3561" s="185">
        <f>+U3559*12.5%</f>
        <v>2356640</v>
      </c>
      <c r="V3561" s="21" t="s">
        <v>2769</v>
      </c>
    </row>
    <row r="3562" spans="1:24" ht="15" hidden="1" x14ac:dyDescent="0.25">
      <c r="B3562" s="89">
        <v>44349.083333333336</v>
      </c>
      <c r="C3562" s="92" t="s">
        <v>3332</v>
      </c>
      <c r="D3562" s="23"/>
      <c r="E3562" s="91">
        <v>4284800</v>
      </c>
      <c r="F3562" s="93"/>
      <c r="G3562" s="93">
        <f t="shared" si="689"/>
        <v>4284800</v>
      </c>
      <c r="H3562" s="94"/>
      <c r="I3562" s="94"/>
      <c r="J3562" s="91">
        <v>36672.57</v>
      </c>
      <c r="K3562" s="25">
        <f t="shared" si="690"/>
        <v>4248127.43</v>
      </c>
      <c r="L3562" s="95">
        <f t="shared" si="691"/>
        <v>30422080</v>
      </c>
      <c r="M3562" s="20"/>
      <c r="N3562" s="20"/>
      <c r="P3562" s="84">
        <v>9419592358</v>
      </c>
      <c r="Q3562" s="174">
        <v>44317</v>
      </c>
      <c r="R3562" s="125">
        <v>402100</v>
      </c>
      <c r="S3562" s="125">
        <v>514600</v>
      </c>
      <c r="U3562" s="99">
        <f>+U3559*16%</f>
        <v>3016499.2000000002</v>
      </c>
      <c r="V3562" s="21" t="s">
        <v>2771</v>
      </c>
    </row>
    <row r="3563" spans="1:24" ht="15" hidden="1" x14ac:dyDescent="0.25">
      <c r="B3563" s="89">
        <v>44383.083333333336</v>
      </c>
      <c r="C3563" s="92" t="s">
        <v>3333</v>
      </c>
      <c r="D3563" s="23"/>
      <c r="E3563" s="91">
        <v>4284800</v>
      </c>
      <c r="F3563" s="93"/>
      <c r="G3563" s="93">
        <f t="shared" si="689"/>
        <v>4284800</v>
      </c>
      <c r="H3563" s="94"/>
      <c r="I3563" s="94"/>
      <c r="J3563" s="91">
        <v>36672.57</v>
      </c>
      <c r="K3563" s="25">
        <f t="shared" si="690"/>
        <v>4248127.43</v>
      </c>
      <c r="L3563" s="95">
        <f t="shared" si="691"/>
        <v>26137280</v>
      </c>
      <c r="M3563" s="20"/>
      <c r="N3563" s="20"/>
      <c r="P3563" s="84">
        <v>1014207372</v>
      </c>
      <c r="Q3563" s="174">
        <v>44348</v>
      </c>
      <c r="R3563" s="125">
        <v>402100</v>
      </c>
      <c r="S3563" s="125">
        <v>514600</v>
      </c>
      <c r="U3563" s="3"/>
    </row>
    <row r="3564" spans="1:24" ht="15" hidden="1" x14ac:dyDescent="0.25">
      <c r="B3564" s="89">
        <v>44411.083333333336</v>
      </c>
      <c r="C3564" s="92" t="s">
        <v>3334</v>
      </c>
      <c r="D3564" s="23"/>
      <c r="E3564" s="91">
        <v>4284800</v>
      </c>
      <c r="F3564" s="93"/>
      <c r="G3564" s="93">
        <f t="shared" si="689"/>
        <v>4284800</v>
      </c>
      <c r="H3564" s="94"/>
      <c r="I3564" s="94"/>
      <c r="J3564" s="91">
        <v>36672.57</v>
      </c>
      <c r="K3564" s="25">
        <f t="shared" si="690"/>
        <v>4248127.43</v>
      </c>
      <c r="L3564" s="95">
        <f t="shared" si="691"/>
        <v>21852480</v>
      </c>
      <c r="M3564" s="20"/>
      <c r="N3564" s="20"/>
      <c r="P3564" s="84">
        <v>9422042712</v>
      </c>
      <c r="Q3564" s="174">
        <v>44378</v>
      </c>
      <c r="R3564" s="125">
        <v>402100</v>
      </c>
      <c r="S3564" s="125">
        <v>514600</v>
      </c>
      <c r="W3564" s="31">
        <v>4284800</v>
      </c>
      <c r="X3564" s="131">
        <f>+E3564-W3564</f>
        <v>0</v>
      </c>
    </row>
    <row r="3565" spans="1:24" ht="15" hidden="1" x14ac:dyDescent="0.25">
      <c r="B3565" s="89">
        <v>44441.083333333336</v>
      </c>
      <c r="C3565" s="92" t="s">
        <v>3335</v>
      </c>
      <c r="D3565" s="23"/>
      <c r="E3565" s="91">
        <v>4284800</v>
      </c>
      <c r="F3565" s="93"/>
      <c r="G3565" s="93">
        <f t="shared" si="689"/>
        <v>4284800</v>
      </c>
      <c r="H3565" s="94"/>
      <c r="I3565" s="94"/>
      <c r="J3565" s="91">
        <v>36672.57</v>
      </c>
      <c r="K3565" s="25">
        <f t="shared" si="690"/>
        <v>4248127.43</v>
      </c>
      <c r="L3565" s="95">
        <f>+L3564-G3565</f>
        <v>17567680</v>
      </c>
      <c r="M3565" s="20"/>
      <c r="N3565" s="20"/>
      <c r="P3565" s="84">
        <v>9423190834</v>
      </c>
      <c r="Q3565" s="174">
        <v>44409</v>
      </c>
      <c r="R3565" s="125">
        <v>402100</v>
      </c>
      <c r="S3565" s="125">
        <v>514600</v>
      </c>
      <c r="W3565" s="31"/>
      <c r="X3565" s="131"/>
    </row>
    <row r="3566" spans="1:24" ht="15" hidden="1" x14ac:dyDescent="0.25">
      <c r="B3566" s="89">
        <v>44477.083333333336</v>
      </c>
      <c r="C3566" s="92" t="s">
        <v>3336</v>
      </c>
      <c r="D3566" s="23"/>
      <c r="E3566" s="91">
        <v>4284800</v>
      </c>
      <c r="F3566" s="93"/>
      <c r="G3566" s="93">
        <f t="shared" si="689"/>
        <v>4284800</v>
      </c>
      <c r="H3566" s="94"/>
      <c r="I3566" s="94"/>
      <c r="J3566" s="91">
        <v>36672.57</v>
      </c>
      <c r="K3566" s="25">
        <f t="shared" si="690"/>
        <v>4248127.43</v>
      </c>
      <c r="L3566" s="95">
        <f>+L3565-G3566</f>
        <v>13282880</v>
      </c>
      <c r="M3566" s="20"/>
      <c r="N3566" s="20"/>
      <c r="P3566" s="84">
        <v>9424667619</v>
      </c>
      <c r="Q3566" s="174">
        <v>44440</v>
      </c>
      <c r="R3566" s="125">
        <v>402100</v>
      </c>
      <c r="S3566" s="125">
        <v>514600</v>
      </c>
      <c r="W3566" s="31"/>
      <c r="X3566" s="131"/>
    </row>
    <row r="3567" spans="1:24" ht="15" hidden="1" x14ac:dyDescent="0.25">
      <c r="B3567" s="89">
        <v>44512.125</v>
      </c>
      <c r="C3567" s="92" t="s">
        <v>3337</v>
      </c>
      <c r="D3567" s="23"/>
      <c r="E3567" s="91">
        <v>4284800</v>
      </c>
      <c r="F3567" s="93"/>
      <c r="G3567" s="93">
        <f t="shared" si="689"/>
        <v>4284800</v>
      </c>
      <c r="H3567" s="94"/>
      <c r="I3567" s="94"/>
      <c r="J3567" s="91">
        <v>36672.57</v>
      </c>
      <c r="K3567" s="25">
        <f t="shared" si="690"/>
        <v>4248127.43</v>
      </c>
      <c r="L3567" s="95">
        <f>+L3566-G3567</f>
        <v>8998080</v>
      </c>
      <c r="M3567" s="20"/>
      <c r="N3567" s="20"/>
      <c r="P3567" s="84">
        <v>9425490584</v>
      </c>
      <c r="Q3567" s="174">
        <v>44470</v>
      </c>
      <c r="R3567" s="125">
        <v>402100</v>
      </c>
      <c r="S3567" s="125">
        <v>514600</v>
      </c>
      <c r="W3567" s="31"/>
      <c r="X3567" s="131"/>
    </row>
    <row r="3568" spans="1:24" ht="15" hidden="1" x14ac:dyDescent="0.25">
      <c r="B3568" s="89">
        <v>44543.125</v>
      </c>
      <c r="C3568" s="92" t="s">
        <v>3338</v>
      </c>
      <c r="D3568" s="23"/>
      <c r="E3568" s="91">
        <v>4284800</v>
      </c>
      <c r="F3568" s="93"/>
      <c r="G3568" s="93">
        <f t="shared" si="689"/>
        <v>4284800</v>
      </c>
      <c r="H3568" s="94"/>
      <c r="I3568" s="94"/>
      <c r="J3568" s="91">
        <v>36672.57</v>
      </c>
      <c r="K3568" s="25">
        <f t="shared" si="690"/>
        <v>4248127.43</v>
      </c>
      <c r="L3568" s="95">
        <f>+L3567-G3568</f>
        <v>4713280</v>
      </c>
      <c r="M3568" s="20"/>
      <c r="N3568" s="20"/>
      <c r="P3568" s="84">
        <v>9427354613</v>
      </c>
      <c r="Q3568" s="174">
        <v>44501</v>
      </c>
      <c r="R3568" s="125">
        <v>402100</v>
      </c>
      <c r="S3568" s="125">
        <v>514600</v>
      </c>
      <c r="W3568" s="31"/>
      <c r="X3568" s="131"/>
    </row>
    <row r="3569" spans="1:24" ht="15" hidden="1" x14ac:dyDescent="0.25">
      <c r="B3569" s="89">
        <v>44551.125</v>
      </c>
      <c r="C3569" s="92" t="s">
        <v>3339</v>
      </c>
      <c r="D3569" s="23"/>
      <c r="E3569" s="91">
        <v>4284800</v>
      </c>
      <c r="F3569" s="93"/>
      <c r="G3569" s="93">
        <f t="shared" si="689"/>
        <v>4284800</v>
      </c>
      <c r="H3569" s="94"/>
      <c r="I3569" s="94"/>
      <c r="J3569" s="91">
        <v>36672.57</v>
      </c>
      <c r="K3569" s="25">
        <f t="shared" si="690"/>
        <v>4248127.43</v>
      </c>
      <c r="L3569" s="95">
        <f>+L3568-G3569</f>
        <v>428480</v>
      </c>
      <c r="M3569" s="20"/>
      <c r="N3569" s="20"/>
      <c r="P3569" s="84">
        <v>9428203233</v>
      </c>
      <c r="Q3569" s="174">
        <v>44531</v>
      </c>
      <c r="R3569" s="125">
        <v>327000</v>
      </c>
      <c r="S3569" s="125">
        <v>418500</v>
      </c>
      <c r="W3569" s="31"/>
      <c r="X3569" s="131"/>
    </row>
    <row r="3570" spans="1:24" ht="15" hidden="1" x14ac:dyDescent="0.25">
      <c r="B3570" s="89"/>
      <c r="C3570" s="92"/>
      <c r="D3570" s="23"/>
      <c r="E3570" s="91"/>
      <c r="F3570" s="93"/>
      <c r="G3570" s="93"/>
      <c r="H3570" s="94"/>
      <c r="I3570" s="94"/>
      <c r="J3570" s="91"/>
      <c r="K3570" s="25"/>
      <c r="L3570" s="95"/>
      <c r="M3570" s="20"/>
      <c r="N3570" s="20"/>
      <c r="P3570" s="84"/>
      <c r="Q3570" s="174"/>
      <c r="R3570" s="177">
        <f>SUM(R3559:R3569)</f>
        <v>4348000</v>
      </c>
      <c r="S3570" s="178">
        <f>SUM(S3559:S3569)</f>
        <v>5564500</v>
      </c>
      <c r="W3570" s="31"/>
      <c r="X3570" s="131"/>
    </row>
    <row r="3571" spans="1:24" ht="15" hidden="1" x14ac:dyDescent="0.25">
      <c r="A3571" s="21">
        <v>2312021</v>
      </c>
      <c r="B3571" s="139" t="s">
        <v>3340</v>
      </c>
      <c r="C3571" s="140"/>
      <c r="D3571" s="141">
        <v>32393088</v>
      </c>
      <c r="E3571" s="141">
        <f>+D3571</f>
        <v>32393088</v>
      </c>
      <c r="F3571" s="141"/>
      <c r="G3571" s="141"/>
      <c r="H3571" s="141"/>
      <c r="I3571" s="141"/>
      <c r="J3571" s="141"/>
      <c r="K3571" s="141"/>
      <c r="L3571" s="141">
        <f>+D3571</f>
        <v>32393088</v>
      </c>
      <c r="M3571" s="142"/>
      <c r="N3571" s="142"/>
      <c r="O3571" s="149">
        <f>+VLOOKUP(A3571,'[1]ANEXO 7 - PPTO VIG 2021'!$H$8:$AB$160,21,)-L3582</f>
        <v>-299936</v>
      </c>
    </row>
    <row r="3572" spans="1:24" ht="15" hidden="1" x14ac:dyDescent="0.25">
      <c r="B3572" s="89">
        <v>44278.083333333336</v>
      </c>
      <c r="C3572" s="92" t="s">
        <v>3341</v>
      </c>
      <c r="D3572" s="23"/>
      <c r="E3572" s="91">
        <v>2099552</v>
      </c>
      <c r="F3572" s="93"/>
      <c r="G3572" s="93">
        <f t="shared" ref="G3572:G3582" si="692">+E3572</f>
        <v>2099552</v>
      </c>
      <c r="H3572" s="94"/>
      <c r="I3572" s="94">
        <v>0</v>
      </c>
      <c r="J3572" s="91">
        <v>17969.560000000001</v>
      </c>
      <c r="K3572" s="25">
        <f t="shared" ref="K3572:K3582" si="693">+G3572-H3572-I3572-J3572</f>
        <v>2081582.44</v>
      </c>
      <c r="L3572" s="95">
        <f t="shared" ref="L3572:L3577" si="694">+L3571-G3572</f>
        <v>30293536</v>
      </c>
      <c r="M3572" s="96"/>
      <c r="N3572" s="96"/>
      <c r="P3572" s="21">
        <v>9416441395</v>
      </c>
      <c r="Q3572" s="127">
        <v>44228</v>
      </c>
      <c r="R3572" s="14">
        <v>127700</v>
      </c>
      <c r="S3572" s="14">
        <v>163400</v>
      </c>
      <c r="T3572" s="3">
        <f>+L3571-299936</f>
        <v>32093152</v>
      </c>
      <c r="U3572" s="3">
        <f>+T3572*40%</f>
        <v>12837260.800000001</v>
      </c>
    </row>
    <row r="3573" spans="1:24" ht="15" hidden="1" x14ac:dyDescent="0.25">
      <c r="B3573" s="89">
        <v>44300.083333333336</v>
      </c>
      <c r="C3573" s="92" t="s">
        <v>3342</v>
      </c>
      <c r="D3573" s="23"/>
      <c r="E3573" s="91">
        <v>2999360</v>
      </c>
      <c r="F3573" s="93"/>
      <c r="G3573" s="93">
        <f t="shared" si="692"/>
        <v>2999360</v>
      </c>
      <c r="H3573" s="94"/>
      <c r="I3573" s="94"/>
      <c r="J3573" s="91">
        <v>25670.799999999999</v>
      </c>
      <c r="K3573" s="25">
        <f t="shared" si="693"/>
        <v>2973689.2</v>
      </c>
      <c r="L3573" s="95">
        <f t="shared" si="694"/>
        <v>27294176</v>
      </c>
      <c r="M3573" s="96"/>
      <c r="N3573" s="96"/>
      <c r="P3573" s="55">
        <v>9417978722</v>
      </c>
      <c r="Q3573" s="127">
        <v>44256</v>
      </c>
      <c r="R3573" s="14">
        <v>150000</v>
      </c>
      <c r="S3573" s="14">
        <v>192000</v>
      </c>
      <c r="U3573" s="3"/>
    </row>
    <row r="3574" spans="1:24" ht="15" hidden="1" x14ac:dyDescent="0.25">
      <c r="B3574" s="89">
        <v>44326.083333333336</v>
      </c>
      <c r="C3574" s="92" t="s">
        <v>3343</v>
      </c>
      <c r="D3574" s="23"/>
      <c r="E3574" s="91">
        <v>2999360</v>
      </c>
      <c r="F3574" s="93"/>
      <c r="G3574" s="93">
        <f t="shared" si="692"/>
        <v>2999360</v>
      </c>
      <c r="H3574" s="94"/>
      <c r="I3574" s="94"/>
      <c r="J3574" s="91">
        <v>25670.799999999999</v>
      </c>
      <c r="K3574" s="25">
        <f t="shared" si="693"/>
        <v>2973689.2</v>
      </c>
      <c r="L3574" s="95">
        <f t="shared" si="694"/>
        <v>24294816</v>
      </c>
      <c r="M3574" s="20">
        <v>2999360</v>
      </c>
      <c r="N3574" s="20">
        <f>+G3574-M3574</f>
        <v>0</v>
      </c>
      <c r="O3574" s="21" t="s">
        <v>1</v>
      </c>
      <c r="P3574" s="55">
        <v>9419121505</v>
      </c>
      <c r="Q3574" s="127">
        <v>44287</v>
      </c>
      <c r="R3574" s="14">
        <v>150000</v>
      </c>
      <c r="S3574" s="14">
        <v>192000</v>
      </c>
      <c r="U3574" s="3">
        <f>+U3572*12.5%</f>
        <v>1604657.6</v>
      </c>
      <c r="V3574" s="172" t="s">
        <v>2769</v>
      </c>
    </row>
    <row r="3575" spans="1:24" ht="15" hidden="1" x14ac:dyDescent="0.25">
      <c r="B3575" s="89">
        <v>44355.083333333336</v>
      </c>
      <c r="C3575" s="92" t="s">
        <v>3344</v>
      </c>
      <c r="D3575" s="23"/>
      <c r="E3575" s="91">
        <v>2999360</v>
      </c>
      <c r="F3575" s="93"/>
      <c r="G3575" s="93">
        <f t="shared" si="692"/>
        <v>2999360</v>
      </c>
      <c r="H3575" s="94"/>
      <c r="I3575" s="94"/>
      <c r="J3575" s="91">
        <v>25670.799999999999</v>
      </c>
      <c r="K3575" s="25">
        <f t="shared" si="693"/>
        <v>2973689.2</v>
      </c>
      <c r="L3575" s="95">
        <f t="shared" si="694"/>
        <v>21295456</v>
      </c>
      <c r="M3575" s="20"/>
      <c r="N3575" s="20"/>
      <c r="P3575" s="84">
        <v>9420274554</v>
      </c>
      <c r="Q3575" s="174">
        <v>44317</v>
      </c>
      <c r="R3575" s="125">
        <v>150000</v>
      </c>
      <c r="S3575" s="125">
        <v>192000</v>
      </c>
      <c r="U3575" s="3">
        <f>+U3572*16%</f>
        <v>2053961.7280000001</v>
      </c>
      <c r="V3575" s="173" t="s">
        <v>2771</v>
      </c>
    </row>
    <row r="3576" spans="1:24" ht="15" hidden="1" x14ac:dyDescent="0.25">
      <c r="B3576" s="89">
        <v>44384.083333333336</v>
      </c>
      <c r="C3576" s="92" t="s">
        <v>3345</v>
      </c>
      <c r="D3576" s="23"/>
      <c r="E3576" s="91">
        <v>2999360</v>
      </c>
      <c r="F3576" s="93"/>
      <c r="G3576" s="93">
        <f t="shared" si="692"/>
        <v>2999360</v>
      </c>
      <c r="H3576" s="94"/>
      <c r="I3576" s="94"/>
      <c r="J3576" s="91">
        <v>25670.799999999999</v>
      </c>
      <c r="K3576" s="25">
        <f t="shared" si="693"/>
        <v>2973689.2</v>
      </c>
      <c r="L3576" s="95">
        <f t="shared" si="694"/>
        <v>18296096</v>
      </c>
      <c r="M3576" s="20"/>
      <c r="N3576" s="20"/>
      <c r="P3576" s="84">
        <v>9420302527</v>
      </c>
      <c r="Q3576" s="174">
        <v>44348</v>
      </c>
      <c r="R3576" s="125">
        <v>150000</v>
      </c>
      <c r="S3576" s="125">
        <v>192000</v>
      </c>
    </row>
    <row r="3577" spans="1:24" ht="15" hidden="1" x14ac:dyDescent="0.25">
      <c r="B3577" s="89">
        <v>44417.083333333336</v>
      </c>
      <c r="C3577" s="92" t="s">
        <v>3346</v>
      </c>
      <c r="D3577" s="23"/>
      <c r="E3577" s="91">
        <v>2999360</v>
      </c>
      <c r="F3577" s="93"/>
      <c r="G3577" s="93">
        <f t="shared" si="692"/>
        <v>2999360</v>
      </c>
      <c r="H3577" s="94"/>
      <c r="I3577" s="94"/>
      <c r="J3577" s="91">
        <v>25670.799999999999</v>
      </c>
      <c r="K3577" s="25">
        <f t="shared" si="693"/>
        <v>2973689.2</v>
      </c>
      <c r="L3577" s="95">
        <f t="shared" si="694"/>
        <v>15296736</v>
      </c>
      <c r="M3577" s="20"/>
      <c r="N3577" s="20"/>
      <c r="P3577" s="84">
        <v>9422656541</v>
      </c>
      <c r="Q3577" s="174">
        <v>44378</v>
      </c>
      <c r="R3577" s="125">
        <v>150000</v>
      </c>
      <c r="S3577" s="125">
        <v>192000</v>
      </c>
      <c r="W3577" s="31">
        <v>2999360</v>
      </c>
      <c r="X3577" s="131">
        <f>+E3577-W3577</f>
        <v>0</v>
      </c>
    </row>
    <row r="3578" spans="1:24" ht="15" hidden="1" x14ac:dyDescent="0.25">
      <c r="B3578" s="89">
        <v>44445.083333333336</v>
      </c>
      <c r="C3578" s="92" t="s">
        <v>3347</v>
      </c>
      <c r="D3578" s="23"/>
      <c r="E3578" s="91">
        <v>2999360</v>
      </c>
      <c r="F3578" s="93"/>
      <c r="G3578" s="93">
        <f t="shared" si="692"/>
        <v>2999360</v>
      </c>
      <c r="H3578" s="94"/>
      <c r="I3578" s="94"/>
      <c r="J3578" s="91">
        <v>25670.799999999999</v>
      </c>
      <c r="K3578" s="25">
        <f t="shared" si="693"/>
        <v>2973689.2</v>
      </c>
      <c r="L3578" s="95">
        <f>+L3577-G3578</f>
        <v>12297376</v>
      </c>
      <c r="M3578" s="20"/>
      <c r="N3578" s="20"/>
      <c r="P3578" s="84">
        <v>9423837863</v>
      </c>
      <c r="Q3578" s="174">
        <v>44409</v>
      </c>
      <c r="R3578" s="125">
        <v>150000</v>
      </c>
      <c r="S3578" s="125">
        <v>192000</v>
      </c>
      <c r="W3578" s="31"/>
      <c r="X3578" s="131"/>
    </row>
    <row r="3579" spans="1:24" ht="15" hidden="1" x14ac:dyDescent="0.25">
      <c r="B3579" s="89">
        <v>44481.083333333336</v>
      </c>
      <c r="C3579" s="92" t="s">
        <v>3348</v>
      </c>
      <c r="D3579" s="23"/>
      <c r="E3579" s="91">
        <v>2999360</v>
      </c>
      <c r="F3579" s="93"/>
      <c r="G3579" s="93">
        <f t="shared" si="692"/>
        <v>2999360</v>
      </c>
      <c r="H3579" s="94"/>
      <c r="I3579" s="94"/>
      <c r="J3579" s="91">
        <v>25670.799999999999</v>
      </c>
      <c r="K3579" s="25">
        <f t="shared" si="693"/>
        <v>2973689.2</v>
      </c>
      <c r="L3579" s="95">
        <f>+L3578-G3579</f>
        <v>9298016</v>
      </c>
      <c r="M3579" s="20"/>
      <c r="N3579" s="20"/>
      <c r="P3579" s="84">
        <v>9424964894</v>
      </c>
      <c r="Q3579" s="174">
        <v>44440</v>
      </c>
      <c r="R3579" s="125">
        <v>150000</v>
      </c>
      <c r="S3579" s="125">
        <v>192000</v>
      </c>
      <c r="W3579" s="31"/>
      <c r="X3579" s="131"/>
    </row>
    <row r="3580" spans="1:24" ht="15" hidden="1" x14ac:dyDescent="0.25">
      <c r="B3580" s="89">
        <v>44510.125</v>
      </c>
      <c r="C3580" s="92" t="s">
        <v>3349</v>
      </c>
      <c r="D3580" s="23"/>
      <c r="E3580" s="91">
        <v>2999360</v>
      </c>
      <c r="F3580" s="93"/>
      <c r="G3580" s="93">
        <f t="shared" si="692"/>
        <v>2999360</v>
      </c>
      <c r="H3580" s="94"/>
      <c r="I3580" s="94"/>
      <c r="J3580" s="91">
        <v>25670.799999999999</v>
      </c>
      <c r="K3580" s="25">
        <f t="shared" si="693"/>
        <v>2973689.2</v>
      </c>
      <c r="L3580" s="95">
        <f>+L3579-G3580</f>
        <v>6298656</v>
      </c>
      <c r="M3580" s="20"/>
      <c r="N3580" s="20"/>
      <c r="P3580" s="84">
        <v>9426251153</v>
      </c>
      <c r="Q3580" s="174">
        <v>44470</v>
      </c>
      <c r="R3580" s="125">
        <v>150000</v>
      </c>
      <c r="S3580" s="125">
        <v>192000</v>
      </c>
      <c r="W3580" s="31"/>
      <c r="X3580" s="131"/>
    </row>
    <row r="3581" spans="1:24" ht="15" hidden="1" x14ac:dyDescent="0.25">
      <c r="B3581" s="89">
        <v>44540.125</v>
      </c>
      <c r="C3581" s="92" t="s">
        <v>3350</v>
      </c>
      <c r="D3581" s="23"/>
      <c r="E3581" s="91">
        <v>2999360</v>
      </c>
      <c r="F3581" s="93"/>
      <c r="G3581" s="93">
        <f t="shared" si="692"/>
        <v>2999360</v>
      </c>
      <c r="H3581" s="94"/>
      <c r="I3581" s="94"/>
      <c r="J3581" s="91">
        <v>25670.799999999999</v>
      </c>
      <c r="K3581" s="25">
        <f t="shared" si="693"/>
        <v>2973689.2</v>
      </c>
      <c r="L3581" s="95">
        <f>+L3580-G3581</f>
        <v>3299296</v>
      </c>
      <c r="M3581" s="20"/>
      <c r="N3581" s="20"/>
      <c r="P3581" s="84">
        <v>9427461439</v>
      </c>
      <c r="Q3581" s="174">
        <v>44501</v>
      </c>
      <c r="R3581" s="125">
        <v>150000</v>
      </c>
      <c r="S3581" s="125">
        <v>192000</v>
      </c>
      <c r="W3581" s="31"/>
      <c r="X3581" s="131"/>
    </row>
    <row r="3582" spans="1:24" ht="15" hidden="1" x14ac:dyDescent="0.25">
      <c r="B3582" s="89">
        <v>44560.125</v>
      </c>
      <c r="C3582" s="92" t="s">
        <v>3351</v>
      </c>
      <c r="D3582" s="23"/>
      <c r="E3582" s="91">
        <v>2999360</v>
      </c>
      <c r="F3582" s="93"/>
      <c r="G3582" s="93">
        <f t="shared" si="692"/>
        <v>2999360</v>
      </c>
      <c r="H3582" s="94"/>
      <c r="I3582" s="94"/>
      <c r="J3582" s="91">
        <v>25670.799999999999</v>
      </c>
      <c r="K3582" s="25">
        <f t="shared" si="693"/>
        <v>2973689.2</v>
      </c>
      <c r="L3582" s="95">
        <f>+L3581-G3582</f>
        <v>299936</v>
      </c>
      <c r="M3582" s="20"/>
      <c r="N3582" s="20"/>
      <c r="P3582" s="84">
        <v>9428199104</v>
      </c>
      <c r="Q3582" s="174">
        <v>44531</v>
      </c>
      <c r="R3582" s="125">
        <v>150000</v>
      </c>
      <c r="S3582" s="125">
        <v>192000</v>
      </c>
      <c r="W3582" s="31"/>
      <c r="X3582" s="131"/>
    </row>
    <row r="3583" spans="1:24" ht="15" hidden="1" x14ac:dyDescent="0.25">
      <c r="B3583" s="89"/>
      <c r="C3583" s="92"/>
      <c r="D3583" s="23"/>
      <c r="E3583" s="91"/>
      <c r="F3583" s="93"/>
      <c r="G3583" s="93"/>
      <c r="H3583" s="94"/>
      <c r="I3583" s="94"/>
      <c r="J3583" s="91"/>
      <c r="K3583" s="25"/>
      <c r="L3583" s="95"/>
      <c r="M3583" s="20"/>
      <c r="N3583" s="20"/>
      <c r="P3583" s="84"/>
      <c r="Q3583" s="174"/>
      <c r="R3583" s="177">
        <f>SUM(R3572:R3582)</f>
        <v>1627700</v>
      </c>
      <c r="S3583" s="178">
        <f>SUM(S3572:S3582)</f>
        <v>2083400</v>
      </c>
      <c r="W3583" s="31"/>
      <c r="X3583" s="131"/>
    </row>
    <row r="3584" spans="1:24" ht="15" hidden="1" x14ac:dyDescent="0.25">
      <c r="B3584" s="89"/>
      <c r="C3584" s="92"/>
      <c r="D3584" s="23"/>
      <c r="E3584" s="91"/>
      <c r="F3584" s="93"/>
      <c r="G3584" s="93"/>
      <c r="H3584" s="94"/>
      <c r="I3584" s="94"/>
      <c r="J3584" s="91"/>
      <c r="K3584" s="25"/>
      <c r="L3584" s="95"/>
      <c r="M3584" s="20"/>
      <c r="N3584" s="20"/>
      <c r="P3584" s="84"/>
      <c r="Q3584" s="174"/>
      <c r="R3584" s="125"/>
      <c r="S3584" s="125"/>
      <c r="W3584" s="31"/>
      <c r="X3584" s="131"/>
    </row>
    <row r="3585" spans="1:24" ht="15" hidden="1" x14ac:dyDescent="0.25">
      <c r="A3585" s="21">
        <v>2452021</v>
      </c>
      <c r="B3585" s="139" t="s">
        <v>3352</v>
      </c>
      <c r="C3585" s="140"/>
      <c r="D3585" s="141">
        <v>45320000</v>
      </c>
      <c r="E3585" s="141">
        <f>+D3585</f>
        <v>45320000</v>
      </c>
      <c r="F3585" s="141"/>
      <c r="G3585" s="141"/>
      <c r="H3585" s="141"/>
      <c r="I3585" s="141"/>
      <c r="J3585" s="141"/>
      <c r="K3585" s="141"/>
      <c r="L3585" s="141">
        <f>+D3585</f>
        <v>45320000</v>
      </c>
      <c r="M3585" s="142"/>
      <c r="N3585" s="142"/>
      <c r="O3585" s="149">
        <f>+VLOOKUP(A3585,'[1]ANEXO 7 - PPTO VIG 2021'!$H$8:$AB$160,21,)-L3596</f>
        <v>-1510667</v>
      </c>
    </row>
    <row r="3586" spans="1:24" ht="15" hidden="1" x14ac:dyDescent="0.25">
      <c r="B3586" s="89">
        <v>44266.125</v>
      </c>
      <c r="C3586" s="92" t="s">
        <v>3353</v>
      </c>
      <c r="D3586" s="23"/>
      <c r="E3586" s="91">
        <v>2609333</v>
      </c>
      <c r="F3586" s="93"/>
      <c r="G3586" s="93">
        <f t="shared" ref="G3586:G3596" si="695">+E3586</f>
        <v>2609333</v>
      </c>
      <c r="H3586" s="94"/>
      <c r="I3586" s="94">
        <v>0</v>
      </c>
      <c r="J3586" s="91">
        <v>22332.65</v>
      </c>
      <c r="K3586" s="25">
        <f t="shared" ref="K3586:K3596" si="696">+G3586-H3586-I3586-J3586</f>
        <v>2587000.35</v>
      </c>
      <c r="L3586" s="95">
        <f t="shared" ref="L3586:L3591" si="697">+L3585-G3586</f>
        <v>42710667</v>
      </c>
      <c r="M3586" s="96"/>
      <c r="N3586" s="96"/>
      <c r="P3586" s="55">
        <v>9415173115</v>
      </c>
      <c r="Q3586" s="127">
        <v>44197</v>
      </c>
      <c r="R3586" s="14">
        <v>200000</v>
      </c>
      <c r="S3586" s="14">
        <v>256000</v>
      </c>
      <c r="T3586" s="3">
        <f>+L3585-1510667</f>
        <v>43809333</v>
      </c>
      <c r="U3586" s="3">
        <f>+T3586*40%</f>
        <v>17523733.199999999</v>
      </c>
    </row>
    <row r="3587" spans="1:24" ht="15" hidden="1" x14ac:dyDescent="0.25">
      <c r="B3587" s="89">
        <v>44293.083333333336</v>
      </c>
      <c r="C3587" s="184" t="s">
        <v>3354</v>
      </c>
      <c r="D3587" s="23"/>
      <c r="E3587" s="91">
        <v>4120000</v>
      </c>
      <c r="F3587" s="93"/>
      <c r="G3587" s="93">
        <f t="shared" si="695"/>
        <v>4120000</v>
      </c>
      <c r="H3587" s="94"/>
      <c r="I3587" s="94"/>
      <c r="J3587" s="91">
        <v>35262.089999999997</v>
      </c>
      <c r="K3587" s="25">
        <f t="shared" si="696"/>
        <v>4084737.91</v>
      </c>
      <c r="L3587" s="95">
        <f t="shared" si="697"/>
        <v>38590667</v>
      </c>
      <c r="M3587" s="96"/>
      <c r="N3587" s="96"/>
      <c r="P3587" s="55">
        <v>9417504485</v>
      </c>
      <c r="Q3587" s="127">
        <v>44228</v>
      </c>
      <c r="R3587" s="14">
        <v>206000</v>
      </c>
      <c r="S3587" s="14">
        <v>263700</v>
      </c>
      <c r="U3587" s="3"/>
    </row>
    <row r="3588" spans="1:24" ht="15" hidden="1" x14ac:dyDescent="0.25">
      <c r="B3588" s="89">
        <v>44321.083333333336</v>
      </c>
      <c r="C3588" s="92" t="s">
        <v>3355</v>
      </c>
      <c r="D3588" s="23"/>
      <c r="E3588" s="91">
        <v>4120000</v>
      </c>
      <c r="F3588" s="93"/>
      <c r="G3588" s="93">
        <f t="shared" si="695"/>
        <v>4120000</v>
      </c>
      <c r="H3588" s="94"/>
      <c r="I3588" s="94"/>
      <c r="J3588" s="91">
        <v>35262.089999999997</v>
      </c>
      <c r="K3588" s="25">
        <f t="shared" si="696"/>
        <v>4084737.91</v>
      </c>
      <c r="L3588" s="95">
        <f t="shared" si="697"/>
        <v>34470667</v>
      </c>
      <c r="M3588" s="20">
        <v>4120000</v>
      </c>
      <c r="N3588" s="20">
        <f>+G3588-M3588</f>
        <v>0</v>
      </c>
      <c r="P3588" s="21">
        <v>9417837384</v>
      </c>
      <c r="Q3588" s="98">
        <v>44256</v>
      </c>
      <c r="R3588" s="14">
        <v>206000</v>
      </c>
      <c r="S3588" s="14">
        <v>263700</v>
      </c>
      <c r="U3588" s="3">
        <f>+U3586*12.5%</f>
        <v>2190466.65</v>
      </c>
      <c r="V3588" s="173" t="s">
        <v>2769</v>
      </c>
    </row>
    <row r="3589" spans="1:24" ht="15" hidden="1" x14ac:dyDescent="0.25">
      <c r="B3589" s="89">
        <v>44350.083333333336</v>
      </c>
      <c r="C3589" s="92" t="s">
        <v>3356</v>
      </c>
      <c r="D3589" s="23"/>
      <c r="E3589" s="91">
        <v>4120000</v>
      </c>
      <c r="F3589" s="93"/>
      <c r="G3589" s="93">
        <f t="shared" si="695"/>
        <v>4120000</v>
      </c>
      <c r="H3589" s="94"/>
      <c r="I3589" s="94"/>
      <c r="J3589" s="91">
        <v>35262.089999999997</v>
      </c>
      <c r="K3589" s="25">
        <f t="shared" si="696"/>
        <v>4084737.91</v>
      </c>
      <c r="L3589" s="95">
        <f t="shared" si="697"/>
        <v>30350667</v>
      </c>
      <c r="M3589" s="20"/>
      <c r="N3589" s="20"/>
      <c r="P3589" s="21">
        <v>9419027615</v>
      </c>
      <c r="Q3589" s="98">
        <v>44287</v>
      </c>
      <c r="R3589" s="125">
        <v>206000</v>
      </c>
      <c r="S3589" s="125">
        <v>263700</v>
      </c>
      <c r="U3589" s="3">
        <f>+U3586*16%</f>
        <v>2803797.3119999999</v>
      </c>
      <c r="V3589" s="172" t="s">
        <v>2771</v>
      </c>
    </row>
    <row r="3590" spans="1:24" ht="15" hidden="1" x14ac:dyDescent="0.25">
      <c r="B3590" s="89">
        <v>44379.083333333336</v>
      </c>
      <c r="C3590" s="92" t="s">
        <v>3357</v>
      </c>
      <c r="D3590" s="23"/>
      <c r="E3590" s="91">
        <v>4120000</v>
      </c>
      <c r="F3590" s="93"/>
      <c r="G3590" s="93">
        <f t="shared" si="695"/>
        <v>4120000</v>
      </c>
      <c r="H3590" s="94"/>
      <c r="I3590" s="94"/>
      <c r="J3590" s="91">
        <v>35262.089999999997</v>
      </c>
      <c r="K3590" s="25">
        <f t="shared" si="696"/>
        <v>4084737.91</v>
      </c>
      <c r="L3590" s="95">
        <f t="shared" si="697"/>
        <v>26230667</v>
      </c>
      <c r="M3590" s="20"/>
      <c r="N3590" s="20"/>
      <c r="P3590" s="21">
        <v>9420182471</v>
      </c>
      <c r="Q3590" s="98">
        <v>44317</v>
      </c>
      <c r="R3590" s="125">
        <v>206000</v>
      </c>
      <c r="S3590" s="125">
        <v>263700</v>
      </c>
    </row>
    <row r="3591" spans="1:24" ht="15" hidden="1" x14ac:dyDescent="0.25">
      <c r="B3591" s="89">
        <v>44411.083333333336</v>
      </c>
      <c r="C3591" s="92" t="s">
        <v>3358</v>
      </c>
      <c r="D3591" s="23"/>
      <c r="E3591" s="91">
        <v>4120000</v>
      </c>
      <c r="F3591" s="93"/>
      <c r="G3591" s="93">
        <f t="shared" si="695"/>
        <v>4120000</v>
      </c>
      <c r="H3591" s="94"/>
      <c r="I3591" s="94"/>
      <c r="J3591" s="91">
        <v>35262.089999999997</v>
      </c>
      <c r="K3591" s="25">
        <f t="shared" si="696"/>
        <v>4084737.91</v>
      </c>
      <c r="L3591" s="95">
        <f t="shared" si="697"/>
        <v>22110667</v>
      </c>
      <c r="M3591" s="20"/>
      <c r="N3591" s="20"/>
      <c r="P3591" s="21">
        <v>9422569460</v>
      </c>
      <c r="Q3591" s="98">
        <v>44378</v>
      </c>
      <c r="R3591" s="125">
        <v>206000</v>
      </c>
      <c r="S3591" s="125">
        <v>263700</v>
      </c>
      <c r="W3591" s="31" t="e">
        <v>#N/A</v>
      </c>
      <c r="X3591" s="131" t="e">
        <f>+E3591-W3591</f>
        <v>#N/A</v>
      </c>
    </row>
    <row r="3592" spans="1:24" ht="15" hidden="1" x14ac:dyDescent="0.25">
      <c r="B3592" s="89">
        <v>44442.083333333336</v>
      </c>
      <c r="C3592" s="92" t="s">
        <v>3359</v>
      </c>
      <c r="D3592" s="23"/>
      <c r="E3592" s="91">
        <v>4120000</v>
      </c>
      <c r="F3592" s="93"/>
      <c r="G3592" s="93">
        <f t="shared" si="695"/>
        <v>4120000</v>
      </c>
      <c r="H3592" s="94"/>
      <c r="I3592" s="94"/>
      <c r="J3592" s="91">
        <v>35262.089999999997</v>
      </c>
      <c r="K3592" s="25">
        <f t="shared" si="696"/>
        <v>4084737.91</v>
      </c>
      <c r="L3592" s="95">
        <f>+L3591-G3592</f>
        <v>17990667</v>
      </c>
      <c r="M3592" s="20"/>
      <c r="N3592" s="20"/>
      <c r="P3592" s="21">
        <v>9423758824</v>
      </c>
      <c r="Q3592" s="98">
        <v>44409</v>
      </c>
      <c r="R3592" s="125">
        <v>206000</v>
      </c>
      <c r="S3592" s="125">
        <v>263700</v>
      </c>
      <c r="W3592" s="31"/>
      <c r="X3592" s="131"/>
    </row>
    <row r="3593" spans="1:24" ht="15" hidden="1" x14ac:dyDescent="0.25">
      <c r="B3593" s="89">
        <v>44475.083333333336</v>
      </c>
      <c r="C3593" s="92" t="s">
        <v>3360</v>
      </c>
      <c r="D3593" s="23"/>
      <c r="E3593" s="91">
        <v>4120000</v>
      </c>
      <c r="F3593" s="93"/>
      <c r="G3593" s="93">
        <f t="shared" si="695"/>
        <v>4120000</v>
      </c>
      <c r="H3593" s="94"/>
      <c r="I3593" s="94"/>
      <c r="J3593" s="91">
        <v>35262.089999999997</v>
      </c>
      <c r="K3593" s="25">
        <f t="shared" si="696"/>
        <v>4084737.91</v>
      </c>
      <c r="L3593" s="95">
        <f>+L3592-G3593</f>
        <v>13870667</v>
      </c>
      <c r="M3593" s="20"/>
      <c r="N3593" s="20"/>
      <c r="P3593" s="21">
        <v>9424987193</v>
      </c>
      <c r="Q3593" s="98">
        <v>44440</v>
      </c>
      <c r="R3593" s="125">
        <v>206000</v>
      </c>
      <c r="S3593" s="125">
        <v>263700</v>
      </c>
      <c r="W3593" s="31"/>
      <c r="X3593" s="131"/>
    </row>
    <row r="3594" spans="1:24" ht="15" hidden="1" x14ac:dyDescent="0.25">
      <c r="B3594" s="89">
        <v>44505.083333333336</v>
      </c>
      <c r="C3594" s="92" t="s">
        <v>3361</v>
      </c>
      <c r="D3594" s="23"/>
      <c r="E3594" s="91">
        <v>4120000</v>
      </c>
      <c r="F3594" s="93"/>
      <c r="G3594" s="93">
        <f t="shared" si="695"/>
        <v>4120000</v>
      </c>
      <c r="H3594" s="94"/>
      <c r="I3594" s="94"/>
      <c r="J3594" s="91">
        <v>35262.089999999997</v>
      </c>
      <c r="K3594" s="25">
        <f t="shared" si="696"/>
        <v>4084737.91</v>
      </c>
      <c r="L3594" s="95">
        <f>+L3593-G3594</f>
        <v>9750667</v>
      </c>
      <c r="M3594" s="20"/>
      <c r="N3594" s="20"/>
      <c r="P3594" s="21">
        <v>9426191448</v>
      </c>
      <c r="Q3594" s="98">
        <v>44470</v>
      </c>
      <c r="R3594" s="125">
        <v>206000</v>
      </c>
      <c r="S3594" s="125">
        <v>263700</v>
      </c>
      <c r="W3594" s="31"/>
      <c r="X3594" s="131"/>
    </row>
    <row r="3595" spans="1:24" ht="15" hidden="1" x14ac:dyDescent="0.25">
      <c r="B3595" s="89">
        <v>44536.125</v>
      </c>
      <c r="C3595" s="92" t="s">
        <v>3362</v>
      </c>
      <c r="D3595" s="23"/>
      <c r="E3595" s="91">
        <v>4120000</v>
      </c>
      <c r="F3595" s="93"/>
      <c r="G3595" s="93">
        <f t="shared" si="695"/>
        <v>4120000</v>
      </c>
      <c r="H3595" s="94"/>
      <c r="I3595" s="94"/>
      <c r="J3595" s="91">
        <v>35262.089999999997</v>
      </c>
      <c r="K3595" s="25">
        <f t="shared" si="696"/>
        <v>4084737.91</v>
      </c>
      <c r="L3595" s="95">
        <f>+L3594-G3595</f>
        <v>5630667</v>
      </c>
      <c r="M3595" s="20"/>
      <c r="N3595" s="20"/>
      <c r="P3595" s="21">
        <v>9427405764</v>
      </c>
      <c r="Q3595" s="98">
        <v>44501</v>
      </c>
      <c r="R3595" s="125">
        <v>206000</v>
      </c>
      <c r="S3595" s="125">
        <v>263700</v>
      </c>
      <c r="W3595" s="31"/>
      <c r="X3595" s="131"/>
    </row>
    <row r="3596" spans="1:24" ht="15" hidden="1" x14ac:dyDescent="0.25">
      <c r="B3596" s="89">
        <v>44560.125</v>
      </c>
      <c r="C3596" s="92" t="s">
        <v>3363</v>
      </c>
      <c r="D3596" s="23"/>
      <c r="E3596" s="91">
        <v>4120000</v>
      </c>
      <c r="F3596" s="93"/>
      <c r="G3596" s="93">
        <f t="shared" si="695"/>
        <v>4120000</v>
      </c>
      <c r="H3596" s="94"/>
      <c r="I3596" s="94"/>
      <c r="J3596" s="91">
        <v>35262.089999999997</v>
      </c>
      <c r="K3596" s="25">
        <f t="shared" si="696"/>
        <v>4084737.91</v>
      </c>
      <c r="L3596" s="95">
        <f>+L3595-G3596</f>
        <v>1510667</v>
      </c>
      <c r="M3596" s="20"/>
      <c r="N3596" s="20"/>
      <c r="P3596" s="21">
        <v>9427417592</v>
      </c>
      <c r="Q3596" s="98">
        <v>44531</v>
      </c>
      <c r="R3596" s="125">
        <v>206000</v>
      </c>
      <c r="S3596" s="125">
        <v>263700</v>
      </c>
      <c r="W3596" s="31"/>
      <c r="X3596" s="131"/>
    </row>
    <row r="3597" spans="1:24" ht="15" hidden="1" x14ac:dyDescent="0.25">
      <c r="B3597" s="89"/>
      <c r="C3597" s="92"/>
      <c r="D3597" s="23"/>
      <c r="E3597" s="91"/>
      <c r="F3597" s="93"/>
      <c r="G3597" s="93"/>
      <c r="H3597" s="94"/>
      <c r="I3597" s="94"/>
      <c r="J3597" s="91"/>
      <c r="K3597" s="25"/>
      <c r="L3597" s="95"/>
      <c r="M3597" s="20"/>
      <c r="N3597" s="20"/>
      <c r="Q3597" s="98"/>
      <c r="R3597" s="177">
        <f>SUM(R3586:R3596)</f>
        <v>2260000</v>
      </c>
      <c r="S3597" s="178">
        <f>SUM(S3586:S3596)</f>
        <v>2893000</v>
      </c>
      <c r="W3597" s="31"/>
      <c r="X3597" s="131"/>
    </row>
    <row r="3598" spans="1:24" ht="15" hidden="1" x14ac:dyDescent="0.25">
      <c r="A3598" s="21">
        <v>1602021</v>
      </c>
      <c r="B3598" s="139" t="s">
        <v>3364</v>
      </c>
      <c r="C3598" s="140"/>
      <c r="D3598" s="141">
        <v>60165733</v>
      </c>
      <c r="E3598" s="141">
        <f>+D3598</f>
        <v>60165733</v>
      </c>
      <c r="F3598" s="141"/>
      <c r="G3598" s="141"/>
      <c r="H3598" s="141"/>
      <c r="I3598" s="141"/>
      <c r="J3598" s="141"/>
      <c r="K3598" s="141"/>
      <c r="L3598" s="141">
        <f>+D3598</f>
        <v>60165733</v>
      </c>
      <c r="M3598" s="142"/>
      <c r="N3598" s="142"/>
      <c r="O3598" s="149">
        <f>+VLOOKUP(A3598,'[1]ANEXO 7 - PPTO VIG 2021'!$H$8:$AB$160,21,)-L3610</f>
        <v>-714133</v>
      </c>
    </row>
    <row r="3599" spans="1:24" ht="15" hidden="1" x14ac:dyDescent="0.25">
      <c r="B3599" s="89">
        <v>44271.083333333336</v>
      </c>
      <c r="C3599" s="92" t="s">
        <v>3365</v>
      </c>
      <c r="D3599" s="23" t="s">
        <v>3366</v>
      </c>
      <c r="E3599" s="91">
        <v>5356000</v>
      </c>
      <c r="F3599" s="93"/>
      <c r="G3599" s="93">
        <f t="shared" ref="G3599:G3610" si="698">+E3599</f>
        <v>5356000</v>
      </c>
      <c r="H3599" s="94"/>
      <c r="I3599" s="94">
        <v>0</v>
      </c>
      <c r="J3599" s="91">
        <v>45840.72</v>
      </c>
      <c r="K3599" s="25">
        <f t="shared" ref="K3599:K3610" si="699">+G3599-H3599-I3599-J3599</f>
        <v>5310159.28</v>
      </c>
      <c r="L3599" s="95">
        <f t="shared" ref="L3599:L3610" si="700">+L3598-G3599</f>
        <v>54809733</v>
      </c>
      <c r="M3599" s="96"/>
      <c r="N3599" s="96"/>
      <c r="P3599" s="21">
        <v>47821222</v>
      </c>
      <c r="Q3599" s="127">
        <v>44197</v>
      </c>
      <c r="R3599" s="14">
        <v>113600</v>
      </c>
      <c r="S3599" s="14">
        <v>145400</v>
      </c>
      <c r="T3599" s="3">
        <f>+L3598-714133</f>
        <v>59451600</v>
      </c>
      <c r="U3599" s="3">
        <f>+T3599*40%</f>
        <v>23780640</v>
      </c>
    </row>
    <row r="3600" spans="1:24" ht="15" hidden="1" x14ac:dyDescent="0.25">
      <c r="B3600" s="89">
        <v>44272.083333333336</v>
      </c>
      <c r="C3600" s="92" t="s">
        <v>3367</v>
      </c>
      <c r="D3600" s="23" t="s">
        <v>3366</v>
      </c>
      <c r="E3600" s="91">
        <v>535600</v>
      </c>
      <c r="F3600" s="93"/>
      <c r="G3600" s="93">
        <f t="shared" si="698"/>
        <v>535600</v>
      </c>
      <c r="H3600" s="94"/>
      <c r="I3600" s="94">
        <v>0</v>
      </c>
      <c r="J3600" s="91">
        <v>4584.07</v>
      </c>
      <c r="K3600" s="25">
        <f t="shared" si="699"/>
        <v>531015.93000000005</v>
      </c>
      <c r="L3600" s="95">
        <f t="shared" si="700"/>
        <v>54274133</v>
      </c>
      <c r="M3600" s="96"/>
      <c r="N3600" s="96"/>
      <c r="P3600" s="21">
        <v>48761957</v>
      </c>
      <c r="Q3600" s="127">
        <v>44228</v>
      </c>
      <c r="R3600" s="14">
        <v>267800</v>
      </c>
      <c r="S3600" s="14">
        <v>342800</v>
      </c>
      <c r="U3600" s="3"/>
    </row>
    <row r="3601" spans="1:24" ht="15" hidden="1" x14ac:dyDescent="0.25">
      <c r="B3601" s="89">
        <v>44293.083333333336</v>
      </c>
      <c r="C3601" s="92" t="s">
        <v>3368</v>
      </c>
      <c r="D3601" s="23"/>
      <c r="E3601" s="91">
        <v>5356000</v>
      </c>
      <c r="F3601" s="93"/>
      <c r="G3601" s="93">
        <f t="shared" si="698"/>
        <v>5356000</v>
      </c>
      <c r="H3601" s="94"/>
      <c r="I3601" s="94"/>
      <c r="J3601" s="91">
        <v>45840.72</v>
      </c>
      <c r="K3601" s="25">
        <f t="shared" si="699"/>
        <v>5310159.28</v>
      </c>
      <c r="L3601" s="95">
        <f t="shared" si="700"/>
        <v>48918133</v>
      </c>
      <c r="M3601" s="96"/>
      <c r="N3601" s="96"/>
      <c r="P3601" s="55">
        <v>926484012</v>
      </c>
      <c r="Q3601" s="127">
        <v>44256</v>
      </c>
      <c r="R3601" s="14">
        <v>267800</v>
      </c>
      <c r="S3601" s="14">
        <v>342800</v>
      </c>
      <c r="U3601" s="3">
        <f>+U3599*12.5%</f>
        <v>2972580</v>
      </c>
      <c r="V3601" s="173" t="s">
        <v>2769</v>
      </c>
    </row>
    <row r="3602" spans="1:24" ht="15" hidden="1" x14ac:dyDescent="0.25">
      <c r="B3602" s="89">
        <v>44321.083333333336</v>
      </c>
      <c r="C3602" s="92" t="s">
        <v>3369</v>
      </c>
      <c r="D3602" s="23"/>
      <c r="E3602" s="91">
        <v>5356000</v>
      </c>
      <c r="F3602" s="93"/>
      <c r="G3602" s="93">
        <f t="shared" si="698"/>
        <v>5356000</v>
      </c>
      <c r="H3602" s="94"/>
      <c r="I3602" s="94"/>
      <c r="J3602" s="91">
        <v>45840.72</v>
      </c>
      <c r="K3602" s="25">
        <f t="shared" si="699"/>
        <v>5310159.28</v>
      </c>
      <c r="L3602" s="95">
        <f t="shared" si="700"/>
        <v>43562133</v>
      </c>
      <c r="M3602" s="20">
        <v>5356000</v>
      </c>
      <c r="N3602" s="20">
        <f>+G3602-M3602</f>
        <v>0</v>
      </c>
      <c r="P3602" s="55">
        <v>949419034</v>
      </c>
      <c r="Q3602" s="127">
        <v>44287</v>
      </c>
      <c r="R3602" s="14">
        <v>267800</v>
      </c>
      <c r="S3602" s="14">
        <v>342800</v>
      </c>
      <c r="U3602" s="3">
        <f>+U3599*16%</f>
        <v>3804902.4</v>
      </c>
      <c r="V3602" s="172" t="s">
        <v>2771</v>
      </c>
    </row>
    <row r="3603" spans="1:24" ht="15" hidden="1" x14ac:dyDescent="0.25">
      <c r="B3603" s="89">
        <v>44350.083333333336</v>
      </c>
      <c r="C3603" s="92" t="s">
        <v>3370</v>
      </c>
      <c r="D3603" s="23"/>
      <c r="E3603" s="91">
        <v>5356000</v>
      </c>
      <c r="F3603" s="93"/>
      <c r="G3603" s="93">
        <f t="shared" si="698"/>
        <v>5356000</v>
      </c>
      <c r="H3603" s="94"/>
      <c r="I3603" s="94"/>
      <c r="J3603" s="91">
        <v>45840.72</v>
      </c>
      <c r="K3603" s="25">
        <f t="shared" si="699"/>
        <v>5310159.28</v>
      </c>
      <c r="L3603" s="95">
        <f t="shared" si="700"/>
        <v>38206133</v>
      </c>
      <c r="M3603" s="20"/>
      <c r="N3603" s="20"/>
      <c r="P3603" s="84">
        <v>982312809</v>
      </c>
      <c r="Q3603" s="174">
        <v>44317</v>
      </c>
      <c r="R3603" s="125">
        <v>267800</v>
      </c>
      <c r="S3603" s="125">
        <v>342800</v>
      </c>
    </row>
    <row r="3604" spans="1:24" ht="15" hidden="1" x14ac:dyDescent="0.25">
      <c r="B3604" s="89">
        <v>44385.083333333336</v>
      </c>
      <c r="C3604" s="92" t="s">
        <v>3371</v>
      </c>
      <c r="D3604" s="23"/>
      <c r="E3604" s="91">
        <v>5356000</v>
      </c>
      <c r="F3604" s="93"/>
      <c r="G3604" s="93">
        <f t="shared" si="698"/>
        <v>5356000</v>
      </c>
      <c r="H3604" s="94"/>
      <c r="I3604" s="94"/>
      <c r="J3604" s="91">
        <v>45840.72</v>
      </c>
      <c r="K3604" s="25">
        <f t="shared" si="699"/>
        <v>5310159.28</v>
      </c>
      <c r="L3604" s="95">
        <f t="shared" si="700"/>
        <v>32850133</v>
      </c>
      <c r="M3604" s="20"/>
      <c r="N3604" s="20"/>
      <c r="P3604" s="84">
        <v>51099175</v>
      </c>
      <c r="Q3604" s="174">
        <v>44348</v>
      </c>
      <c r="R3604" s="125">
        <v>267800</v>
      </c>
      <c r="S3604" s="125">
        <v>342800</v>
      </c>
    </row>
    <row r="3605" spans="1:24" ht="15" hidden="1" x14ac:dyDescent="0.25">
      <c r="B3605" s="89">
        <v>44418.083333333336</v>
      </c>
      <c r="C3605" s="92" t="s">
        <v>3372</v>
      </c>
      <c r="D3605" s="23"/>
      <c r="E3605" s="91">
        <v>5356000</v>
      </c>
      <c r="F3605" s="93"/>
      <c r="G3605" s="93">
        <f t="shared" si="698"/>
        <v>5356000</v>
      </c>
      <c r="H3605" s="94"/>
      <c r="I3605" s="94"/>
      <c r="J3605" s="91">
        <v>45840.72</v>
      </c>
      <c r="K3605" s="25">
        <f t="shared" si="699"/>
        <v>5310159.28</v>
      </c>
      <c r="L3605" s="95">
        <f t="shared" si="700"/>
        <v>27494133</v>
      </c>
      <c r="M3605" s="20"/>
      <c r="N3605" s="20"/>
      <c r="P3605" s="84">
        <v>1057760747</v>
      </c>
      <c r="Q3605" s="174">
        <v>44378</v>
      </c>
      <c r="R3605" s="125">
        <v>267800</v>
      </c>
      <c r="S3605" s="125">
        <v>342800</v>
      </c>
      <c r="W3605" s="31">
        <v>5356000</v>
      </c>
      <c r="X3605" s="131">
        <f>+E3605-W3605</f>
        <v>0</v>
      </c>
    </row>
    <row r="3606" spans="1:24" ht="15" hidden="1" x14ac:dyDescent="0.25">
      <c r="B3606" s="89">
        <v>44442.083333333336</v>
      </c>
      <c r="C3606" s="92" t="s">
        <v>3373</v>
      </c>
      <c r="D3606" s="23"/>
      <c r="E3606" s="91">
        <v>5356000</v>
      </c>
      <c r="F3606" s="93"/>
      <c r="G3606" s="93">
        <f t="shared" si="698"/>
        <v>5356000</v>
      </c>
      <c r="H3606" s="94"/>
      <c r="I3606" s="94"/>
      <c r="J3606" s="91">
        <v>45840.72</v>
      </c>
      <c r="K3606" s="25">
        <f t="shared" si="699"/>
        <v>5310159.28</v>
      </c>
      <c r="L3606" s="95">
        <f t="shared" si="700"/>
        <v>22138133</v>
      </c>
      <c r="M3606" s="20"/>
      <c r="N3606" s="20"/>
      <c r="P3606" s="84">
        <v>52523949</v>
      </c>
      <c r="Q3606" s="174">
        <v>44409</v>
      </c>
      <c r="R3606" s="125">
        <v>267800</v>
      </c>
      <c r="S3606" s="125">
        <v>342800</v>
      </c>
      <c r="W3606" s="31"/>
      <c r="X3606" s="131"/>
    </row>
    <row r="3607" spans="1:24" ht="15" hidden="1" x14ac:dyDescent="0.25">
      <c r="B3607" s="89">
        <v>44474.083333333336</v>
      </c>
      <c r="C3607" s="92" t="s">
        <v>3374</v>
      </c>
      <c r="D3607" s="23"/>
      <c r="E3607" s="91">
        <v>5356000</v>
      </c>
      <c r="F3607" s="93"/>
      <c r="G3607" s="93">
        <f t="shared" si="698"/>
        <v>5356000</v>
      </c>
      <c r="H3607" s="94"/>
      <c r="I3607" s="94"/>
      <c r="J3607" s="91">
        <v>45840.72</v>
      </c>
      <c r="K3607" s="25">
        <f t="shared" si="699"/>
        <v>5310159.28</v>
      </c>
      <c r="L3607" s="95">
        <f t="shared" si="700"/>
        <v>16782133</v>
      </c>
      <c r="M3607" s="20"/>
      <c r="N3607" s="20"/>
      <c r="P3607" s="84">
        <v>53139892</v>
      </c>
      <c r="Q3607" s="174">
        <v>44440</v>
      </c>
      <c r="R3607" s="125">
        <v>267800</v>
      </c>
      <c r="S3607" s="125">
        <v>342800</v>
      </c>
      <c r="W3607" s="31"/>
      <c r="X3607" s="131"/>
    </row>
    <row r="3608" spans="1:24" ht="15" hidden="1" x14ac:dyDescent="0.25">
      <c r="B3608" s="89">
        <v>44505.083333333336</v>
      </c>
      <c r="C3608" s="92" t="s">
        <v>3375</v>
      </c>
      <c r="D3608" s="23"/>
      <c r="E3608" s="91">
        <v>5356000</v>
      </c>
      <c r="F3608" s="93"/>
      <c r="G3608" s="93">
        <f t="shared" si="698"/>
        <v>5356000</v>
      </c>
      <c r="H3608" s="94"/>
      <c r="I3608" s="94"/>
      <c r="J3608" s="91">
        <v>45840.72</v>
      </c>
      <c r="K3608" s="25">
        <f t="shared" si="699"/>
        <v>5310159.28</v>
      </c>
      <c r="L3608" s="95">
        <f t="shared" si="700"/>
        <v>11426133</v>
      </c>
      <c r="M3608" s="20"/>
      <c r="N3608" s="20"/>
      <c r="P3608" s="84">
        <v>53870178</v>
      </c>
      <c r="Q3608" s="174">
        <v>44470</v>
      </c>
      <c r="R3608" s="125">
        <v>267800</v>
      </c>
      <c r="S3608" s="125">
        <v>342800</v>
      </c>
      <c r="W3608" s="31"/>
      <c r="X3608" s="131"/>
    </row>
    <row r="3609" spans="1:24" ht="15" hidden="1" x14ac:dyDescent="0.25">
      <c r="B3609" s="89">
        <v>44539.125</v>
      </c>
      <c r="C3609" s="92" t="s">
        <v>3376</v>
      </c>
      <c r="D3609" s="23"/>
      <c r="E3609" s="91">
        <v>5356000</v>
      </c>
      <c r="F3609" s="93"/>
      <c r="G3609" s="93">
        <f t="shared" si="698"/>
        <v>5356000</v>
      </c>
      <c r="H3609" s="94"/>
      <c r="I3609" s="94"/>
      <c r="J3609" s="91">
        <v>45840.72</v>
      </c>
      <c r="K3609" s="25">
        <f t="shared" si="699"/>
        <v>5310159.28</v>
      </c>
      <c r="L3609" s="95">
        <f t="shared" si="700"/>
        <v>6070133</v>
      </c>
      <c r="M3609" s="20"/>
      <c r="N3609" s="20"/>
      <c r="P3609" s="84">
        <v>54541007</v>
      </c>
      <c r="Q3609" s="174">
        <v>44501</v>
      </c>
      <c r="R3609" s="125">
        <v>267800</v>
      </c>
      <c r="S3609" s="125">
        <v>342800</v>
      </c>
      <c r="W3609" s="31"/>
      <c r="X3609" s="131"/>
    </row>
    <row r="3610" spans="1:24" ht="15" hidden="1" x14ac:dyDescent="0.25">
      <c r="B3610" s="89">
        <v>44553.125</v>
      </c>
      <c r="C3610" s="92" t="s">
        <v>3377</v>
      </c>
      <c r="D3610" s="23"/>
      <c r="E3610" s="91">
        <v>5356000</v>
      </c>
      <c r="F3610" s="93"/>
      <c r="G3610" s="93">
        <f t="shared" si="698"/>
        <v>5356000</v>
      </c>
      <c r="H3610" s="94"/>
      <c r="I3610" s="94"/>
      <c r="J3610" s="91">
        <v>45840.72</v>
      </c>
      <c r="K3610" s="25">
        <f t="shared" si="699"/>
        <v>5310159.28</v>
      </c>
      <c r="L3610" s="95">
        <f t="shared" si="700"/>
        <v>714133</v>
      </c>
      <c r="M3610" s="20"/>
      <c r="N3610" s="20"/>
      <c r="P3610" s="84">
        <v>55334202</v>
      </c>
      <c r="Q3610" s="174">
        <v>44531</v>
      </c>
      <c r="R3610" s="125">
        <v>267800</v>
      </c>
      <c r="S3610" s="125">
        <v>342800</v>
      </c>
      <c r="W3610" s="31"/>
      <c r="X3610" s="131"/>
    </row>
    <row r="3611" spans="1:24" ht="15" hidden="1" x14ac:dyDescent="0.25">
      <c r="B3611" s="89"/>
      <c r="C3611" s="92"/>
      <c r="D3611" s="23"/>
      <c r="E3611" s="91"/>
      <c r="F3611" s="93"/>
      <c r="G3611" s="93"/>
      <c r="H3611" s="94"/>
      <c r="I3611" s="94"/>
      <c r="J3611" s="91"/>
      <c r="K3611" s="25"/>
      <c r="L3611" s="95"/>
      <c r="M3611" s="20"/>
      <c r="N3611" s="20"/>
      <c r="P3611" s="84"/>
      <c r="Q3611" s="174"/>
      <c r="R3611" s="178">
        <f>SUM(R3599:R3610)</f>
        <v>3059400</v>
      </c>
      <c r="S3611" s="177">
        <f>SUM(S3599:S3610)</f>
        <v>3916200</v>
      </c>
      <c r="W3611" s="31"/>
      <c r="X3611" s="131"/>
    </row>
    <row r="3612" spans="1:24" ht="15" hidden="1" x14ac:dyDescent="0.25">
      <c r="A3612" s="21">
        <v>1302021</v>
      </c>
      <c r="B3612" s="139" t="s">
        <v>3378</v>
      </c>
      <c r="C3612" s="140"/>
      <c r="D3612" s="141">
        <v>45000000</v>
      </c>
      <c r="E3612" s="141">
        <f>+D3612</f>
        <v>45000000</v>
      </c>
      <c r="F3612" s="141"/>
      <c r="G3612" s="141"/>
      <c r="H3612" s="141"/>
      <c r="I3612" s="141"/>
      <c r="J3612" s="141"/>
      <c r="K3612" s="141"/>
      <c r="L3612" s="141">
        <f>+D3612</f>
        <v>45000000</v>
      </c>
      <c r="M3612" s="142"/>
      <c r="N3612" s="142"/>
      <c r="O3612" s="149">
        <f>+VLOOKUP(A3612,'[1]ANEXO 7 - PPTO VIG 2021'!$H$8:$AB$160,21,)-L3619</f>
        <v>0</v>
      </c>
    </row>
    <row r="3613" spans="1:24" ht="15" hidden="1" x14ac:dyDescent="0.25">
      <c r="B3613" s="89">
        <v>44271.083333333336</v>
      </c>
      <c r="C3613" s="92" t="s">
        <v>3379</v>
      </c>
      <c r="D3613" s="23"/>
      <c r="E3613" s="93">
        <v>1000000</v>
      </c>
      <c r="F3613" s="93"/>
      <c r="G3613" s="93">
        <f t="shared" ref="G3613:G3618" si="701">+E3613</f>
        <v>1000000</v>
      </c>
      <c r="H3613" s="94">
        <v>23949.58</v>
      </c>
      <c r="I3613" s="94">
        <v>0</v>
      </c>
      <c r="J3613" s="91">
        <v>7192.24</v>
      </c>
      <c r="K3613" s="25">
        <f t="shared" ref="K3613:K3619" si="702">+G3613-H3613-I3613-J3613</f>
        <v>968858.18</v>
      </c>
      <c r="L3613" s="95">
        <f t="shared" ref="L3613:L3619" si="703">+L3612-G3613</f>
        <v>44000000</v>
      </c>
      <c r="M3613" s="96"/>
      <c r="N3613" s="96"/>
    </row>
    <row r="3614" spans="1:24" ht="15" hidden="1" x14ac:dyDescent="0.25">
      <c r="B3614" s="89">
        <v>44271.083333333336</v>
      </c>
      <c r="C3614" s="92" t="s">
        <v>3380</v>
      </c>
      <c r="D3614" s="23"/>
      <c r="E3614" s="91">
        <v>7500000</v>
      </c>
      <c r="F3614" s="93"/>
      <c r="G3614" s="93">
        <f t="shared" si="701"/>
        <v>7500000</v>
      </c>
      <c r="H3614" s="94">
        <v>179621.85</v>
      </c>
      <c r="I3614" s="94">
        <v>138270.63</v>
      </c>
      <c r="J3614" s="91">
        <v>53941.760000000002</v>
      </c>
      <c r="K3614" s="25">
        <f t="shared" si="702"/>
        <v>7128165.7600000007</v>
      </c>
      <c r="L3614" s="95">
        <f t="shared" si="703"/>
        <v>36500000</v>
      </c>
      <c r="M3614" s="96"/>
      <c r="N3614" s="96"/>
    </row>
    <row r="3615" spans="1:24" ht="15" hidden="1" x14ac:dyDescent="0.25">
      <c r="B3615" s="89">
        <v>44293.083333333336</v>
      </c>
      <c r="C3615" s="92" t="s">
        <v>3381</v>
      </c>
      <c r="D3615" s="23"/>
      <c r="E3615" s="91">
        <v>7500000</v>
      </c>
      <c r="F3615" s="93"/>
      <c r="G3615" s="93">
        <f t="shared" si="701"/>
        <v>7500000</v>
      </c>
      <c r="H3615" s="91">
        <v>179621.85</v>
      </c>
      <c r="I3615" s="91">
        <v>138128.16</v>
      </c>
      <c r="J3615" s="91">
        <v>53941.760000000002</v>
      </c>
      <c r="K3615" s="25">
        <f t="shared" si="702"/>
        <v>7128308.2300000004</v>
      </c>
      <c r="L3615" s="95">
        <f t="shared" si="703"/>
        <v>29000000</v>
      </c>
      <c r="M3615" s="96"/>
      <c r="N3615" s="96"/>
      <c r="P3615" s="55">
        <v>9417516601</v>
      </c>
      <c r="Q3615" s="127">
        <v>44228</v>
      </c>
      <c r="R3615" s="14">
        <v>375000</v>
      </c>
      <c r="S3615" s="14">
        <v>480000</v>
      </c>
    </row>
    <row r="3616" spans="1:24" ht="15" hidden="1" x14ac:dyDescent="0.25">
      <c r="B3616" s="89">
        <v>44322.083333333336</v>
      </c>
      <c r="C3616" s="92" t="s">
        <v>3382</v>
      </c>
      <c r="D3616" s="23"/>
      <c r="E3616" s="91">
        <v>7500000</v>
      </c>
      <c r="F3616" s="93"/>
      <c r="G3616" s="93">
        <f t="shared" si="701"/>
        <v>7500000</v>
      </c>
      <c r="H3616" s="94"/>
      <c r="I3616" s="94">
        <v>289315.87</v>
      </c>
      <c r="J3616" s="91">
        <v>64190.7</v>
      </c>
      <c r="K3616" s="25">
        <f t="shared" si="702"/>
        <v>7146493.4299999997</v>
      </c>
      <c r="L3616" s="95">
        <f t="shared" si="703"/>
        <v>21500000</v>
      </c>
      <c r="M3616" s="20">
        <v>7500000</v>
      </c>
      <c r="N3616" s="20">
        <f>+G3616-M3616</f>
        <v>0</v>
      </c>
      <c r="P3616" s="55">
        <v>948919151</v>
      </c>
      <c r="Q3616" s="127">
        <v>44256</v>
      </c>
      <c r="R3616" s="14">
        <v>375000</v>
      </c>
      <c r="S3616" s="14">
        <v>480000</v>
      </c>
    </row>
    <row r="3617" spans="1:24" ht="15" hidden="1" x14ac:dyDescent="0.25">
      <c r="B3617" s="89">
        <v>44349.083333333336</v>
      </c>
      <c r="C3617" s="92" t="s">
        <v>3383</v>
      </c>
      <c r="D3617" s="23"/>
      <c r="E3617" s="91">
        <v>7500000</v>
      </c>
      <c r="F3617" s="93"/>
      <c r="G3617" s="93">
        <f t="shared" si="701"/>
        <v>7500000</v>
      </c>
      <c r="H3617" s="94"/>
      <c r="I3617" s="94">
        <v>289315.87</v>
      </c>
      <c r="J3617" s="91">
        <v>64190.7</v>
      </c>
      <c r="K3617" s="25">
        <f t="shared" si="702"/>
        <v>7146493.4299999997</v>
      </c>
      <c r="L3617" s="95">
        <f t="shared" si="703"/>
        <v>14000000</v>
      </c>
      <c r="M3617" s="20"/>
      <c r="N3617" s="20"/>
      <c r="P3617" s="84">
        <v>94196470000</v>
      </c>
      <c r="Q3617" s="174">
        <v>44287</v>
      </c>
      <c r="R3617" s="125">
        <v>375000</v>
      </c>
      <c r="S3617" s="125">
        <v>480000</v>
      </c>
    </row>
    <row r="3618" spans="1:24" ht="15" hidden="1" x14ac:dyDescent="0.25">
      <c r="B3618" s="89">
        <v>44383.083333333336</v>
      </c>
      <c r="C3618" s="92" t="s">
        <v>3384</v>
      </c>
      <c r="D3618" s="23"/>
      <c r="E3618" s="91">
        <v>7500000</v>
      </c>
      <c r="F3618" s="93"/>
      <c r="G3618" s="93">
        <f t="shared" si="701"/>
        <v>7500000</v>
      </c>
      <c r="H3618" s="94"/>
      <c r="I3618" s="94">
        <v>289315.87</v>
      </c>
      <c r="J3618" s="91">
        <v>64190.7</v>
      </c>
      <c r="K3618" s="25">
        <f t="shared" si="702"/>
        <v>7146493.4299999997</v>
      </c>
      <c r="L3618" s="95">
        <f t="shared" si="703"/>
        <v>6500000</v>
      </c>
      <c r="M3618" s="20"/>
      <c r="N3618" s="20"/>
      <c r="P3618" s="84">
        <v>9420798555</v>
      </c>
      <c r="Q3618" s="174">
        <v>44317</v>
      </c>
      <c r="R3618" s="125">
        <v>375000</v>
      </c>
      <c r="S3618" s="125">
        <v>480000</v>
      </c>
    </row>
    <row r="3619" spans="1:24" ht="15" hidden="1" x14ac:dyDescent="0.25">
      <c r="B3619" s="89">
        <v>44411.083333333336</v>
      </c>
      <c r="C3619" s="92" t="s">
        <v>3385</v>
      </c>
      <c r="D3619" s="23"/>
      <c r="E3619" s="91">
        <v>6500000</v>
      </c>
      <c r="F3619" s="93"/>
      <c r="G3619" s="93">
        <f>+E3619</f>
        <v>6500000</v>
      </c>
      <c r="H3619" s="94"/>
      <c r="I3619" s="94">
        <v>163060.85999999999</v>
      </c>
      <c r="J3619" s="91">
        <v>55631.94</v>
      </c>
      <c r="K3619" s="25">
        <f t="shared" si="702"/>
        <v>6281307.1999999993</v>
      </c>
      <c r="L3619" s="95">
        <f t="shared" si="703"/>
        <v>0</v>
      </c>
      <c r="M3619" s="20"/>
      <c r="N3619" s="20"/>
      <c r="P3619" s="84"/>
      <c r="Q3619" s="174"/>
      <c r="R3619" s="125"/>
      <c r="S3619" s="125"/>
      <c r="W3619" s="31">
        <v>6500000</v>
      </c>
      <c r="X3619" s="131">
        <f>+E3619-W3619</f>
        <v>0</v>
      </c>
    </row>
    <row r="3620" spans="1:24" ht="15" hidden="1" x14ac:dyDescent="0.25">
      <c r="A3620" s="21">
        <v>2672021</v>
      </c>
      <c r="B3620" s="139" t="s">
        <v>3386</v>
      </c>
      <c r="C3620" s="140"/>
      <c r="D3620" s="141">
        <v>36266667</v>
      </c>
      <c r="E3620" s="141">
        <f>+D3620</f>
        <v>36266667</v>
      </c>
      <c r="F3620" s="141"/>
      <c r="G3620" s="141"/>
      <c r="H3620" s="141"/>
      <c r="I3620" s="141"/>
      <c r="J3620" s="141"/>
      <c r="K3620" s="141"/>
      <c r="L3620" s="141">
        <f>+D3620</f>
        <v>36266667</v>
      </c>
      <c r="M3620" s="142"/>
      <c r="N3620" s="142"/>
      <c r="O3620" s="149">
        <f>+VLOOKUP(A3620,'[1]ANEXO 7 - PPTO VIG 2021'!$H$8:$AB$160,21,)-L3631</f>
        <v>-226667</v>
      </c>
    </row>
    <row r="3621" spans="1:24" ht="15" hidden="1" x14ac:dyDescent="0.25">
      <c r="B3621" s="89">
        <v>44259.125</v>
      </c>
      <c r="C3621" s="92" t="s">
        <v>3387</v>
      </c>
      <c r="D3621" s="23"/>
      <c r="E3621" s="91">
        <v>2040000</v>
      </c>
      <c r="F3621" s="93"/>
      <c r="G3621" s="93">
        <f t="shared" ref="G3621:G3631" si="704">+E3621</f>
        <v>2040000</v>
      </c>
      <c r="H3621" s="94"/>
      <c r="I3621" s="94">
        <v>0</v>
      </c>
      <c r="J3621" s="91">
        <v>17459.87</v>
      </c>
      <c r="K3621" s="25">
        <f t="shared" ref="K3621:K3631" si="705">+G3621-H3621-I3621-J3621</f>
        <v>2022540.13</v>
      </c>
      <c r="L3621" s="95">
        <f t="shared" ref="L3621:L3626" si="706">+L3620-G3621</f>
        <v>34226667</v>
      </c>
      <c r="M3621" s="96"/>
      <c r="N3621" s="96"/>
      <c r="P3621" s="21">
        <v>9415656006</v>
      </c>
      <c r="Q3621" s="127">
        <v>44197</v>
      </c>
      <c r="R3621" s="14">
        <v>113600</v>
      </c>
      <c r="S3621" s="14">
        <v>145400</v>
      </c>
      <c r="U3621" s="3">
        <f>+T3621*40%</f>
        <v>0</v>
      </c>
    </row>
    <row r="3622" spans="1:24" ht="15" hidden="1" x14ac:dyDescent="0.25">
      <c r="B3622" s="89">
        <v>44300.083333333336</v>
      </c>
      <c r="C3622" s="92" t="s">
        <v>3388</v>
      </c>
      <c r="D3622" s="23"/>
      <c r="E3622" s="91">
        <v>3400000</v>
      </c>
      <c r="F3622" s="93"/>
      <c r="G3622" s="93">
        <f t="shared" si="704"/>
        <v>3400000</v>
      </c>
      <c r="H3622" s="94"/>
      <c r="I3622" s="94"/>
      <c r="J3622" s="91">
        <v>29099.78</v>
      </c>
      <c r="K3622" s="25">
        <f t="shared" si="705"/>
        <v>3370900.22</v>
      </c>
      <c r="L3622" s="95">
        <f t="shared" si="706"/>
        <v>30826667</v>
      </c>
      <c r="M3622" s="96"/>
      <c r="N3622" s="96"/>
      <c r="P3622" s="55">
        <v>9416440814</v>
      </c>
      <c r="Q3622" s="127">
        <v>44228</v>
      </c>
      <c r="R3622" s="14">
        <v>170000</v>
      </c>
      <c r="S3622" s="14">
        <v>217600</v>
      </c>
      <c r="U3622" s="3"/>
    </row>
    <row r="3623" spans="1:24" ht="15" hidden="1" x14ac:dyDescent="0.25">
      <c r="B3623" s="89">
        <v>44322.083333333336</v>
      </c>
      <c r="C3623" s="92" t="s">
        <v>3389</v>
      </c>
      <c r="D3623" s="23"/>
      <c r="E3623" s="91">
        <v>3400000</v>
      </c>
      <c r="F3623" s="93"/>
      <c r="G3623" s="93">
        <f t="shared" si="704"/>
        <v>3400000</v>
      </c>
      <c r="H3623" s="94"/>
      <c r="I3623" s="94"/>
      <c r="J3623" s="91">
        <v>29099.78</v>
      </c>
      <c r="K3623" s="25">
        <f t="shared" si="705"/>
        <v>3370900.22</v>
      </c>
      <c r="L3623" s="95">
        <f t="shared" si="706"/>
        <v>27426667</v>
      </c>
      <c r="M3623" s="20">
        <v>3400000</v>
      </c>
      <c r="N3623" s="20">
        <f>+G3623-M3623</f>
        <v>0</v>
      </c>
      <c r="P3623" s="55">
        <v>9417962560</v>
      </c>
      <c r="Q3623" s="127">
        <v>44256</v>
      </c>
      <c r="R3623" s="14">
        <v>170000</v>
      </c>
      <c r="S3623" s="14">
        <v>217600</v>
      </c>
      <c r="U3623" s="3">
        <f>+U3621*12.5%</f>
        <v>0</v>
      </c>
      <c r="V3623" s="172" t="s">
        <v>2769</v>
      </c>
    </row>
    <row r="3624" spans="1:24" ht="15" hidden="1" x14ac:dyDescent="0.25">
      <c r="B3624" s="89">
        <v>44351.083333333336</v>
      </c>
      <c r="C3624" s="92" t="s">
        <v>3390</v>
      </c>
      <c r="D3624" s="23"/>
      <c r="E3624" s="91">
        <v>3400000</v>
      </c>
      <c r="F3624" s="93"/>
      <c r="G3624" s="93">
        <f t="shared" si="704"/>
        <v>3400000</v>
      </c>
      <c r="H3624" s="94"/>
      <c r="I3624" s="94"/>
      <c r="J3624" s="91">
        <v>29099.78</v>
      </c>
      <c r="K3624" s="25">
        <f t="shared" si="705"/>
        <v>3370900.22</v>
      </c>
      <c r="L3624" s="95">
        <f t="shared" si="706"/>
        <v>24026667</v>
      </c>
      <c r="M3624" s="20"/>
      <c r="N3624" s="20"/>
      <c r="P3624" s="84">
        <v>9419117403</v>
      </c>
      <c r="Q3624" s="174">
        <v>44287</v>
      </c>
      <c r="R3624" s="125">
        <v>170000</v>
      </c>
      <c r="S3624" s="125">
        <v>217600</v>
      </c>
      <c r="U3624" s="3">
        <f>+U3621*16%</f>
        <v>0</v>
      </c>
      <c r="V3624" s="173" t="s">
        <v>2771</v>
      </c>
    </row>
    <row r="3625" spans="1:24" ht="15" hidden="1" x14ac:dyDescent="0.25">
      <c r="B3625" s="89">
        <v>44384.083333333336</v>
      </c>
      <c r="C3625" s="92" t="s">
        <v>3391</v>
      </c>
      <c r="D3625" s="23"/>
      <c r="E3625" s="91">
        <v>3400000</v>
      </c>
      <c r="F3625" s="93"/>
      <c r="G3625" s="93">
        <f t="shared" si="704"/>
        <v>3400000</v>
      </c>
      <c r="H3625" s="94"/>
      <c r="I3625" s="94"/>
      <c r="J3625" s="91">
        <v>29099.78</v>
      </c>
      <c r="K3625" s="25">
        <f t="shared" si="705"/>
        <v>3370900.22</v>
      </c>
      <c r="L3625" s="95">
        <f t="shared" si="706"/>
        <v>20626667</v>
      </c>
      <c r="M3625" s="20"/>
      <c r="N3625" s="20"/>
      <c r="P3625" s="84">
        <v>9420311943</v>
      </c>
      <c r="Q3625" s="174">
        <v>44317</v>
      </c>
      <c r="R3625" s="125">
        <v>170000</v>
      </c>
      <c r="S3625" s="125">
        <v>217600</v>
      </c>
    </row>
    <row r="3626" spans="1:24" ht="15" hidden="1" x14ac:dyDescent="0.25">
      <c r="B3626" s="89">
        <v>44418.083333333336</v>
      </c>
      <c r="C3626" s="92" t="s">
        <v>3392</v>
      </c>
      <c r="D3626" s="23"/>
      <c r="E3626" s="91">
        <v>3400000</v>
      </c>
      <c r="F3626" s="93"/>
      <c r="G3626" s="93">
        <f t="shared" si="704"/>
        <v>3400000</v>
      </c>
      <c r="H3626" s="94"/>
      <c r="I3626" s="94"/>
      <c r="J3626" s="91">
        <v>29099.78</v>
      </c>
      <c r="K3626" s="25">
        <f t="shared" si="705"/>
        <v>3370900.22</v>
      </c>
      <c r="L3626" s="95">
        <f t="shared" si="706"/>
        <v>17226667</v>
      </c>
      <c r="M3626" s="20"/>
      <c r="N3626" s="20"/>
      <c r="P3626" s="84">
        <v>9422650168</v>
      </c>
      <c r="Q3626" s="174">
        <v>44378</v>
      </c>
      <c r="R3626" s="125">
        <v>170000</v>
      </c>
      <c r="S3626" s="125">
        <v>217600</v>
      </c>
      <c r="W3626" s="31">
        <v>3400000</v>
      </c>
      <c r="X3626" s="131">
        <f>+E3626-W3626</f>
        <v>0</v>
      </c>
    </row>
    <row r="3627" spans="1:24" ht="15" hidden="1" x14ac:dyDescent="0.25">
      <c r="B3627" s="89">
        <v>44442.083333333336</v>
      </c>
      <c r="C3627" s="92" t="s">
        <v>3393</v>
      </c>
      <c r="D3627" s="23"/>
      <c r="E3627" s="91">
        <v>3400000</v>
      </c>
      <c r="F3627" s="93"/>
      <c r="G3627" s="93">
        <f t="shared" si="704"/>
        <v>3400000</v>
      </c>
      <c r="H3627" s="94"/>
      <c r="I3627" s="94"/>
      <c r="J3627" s="91">
        <v>32844</v>
      </c>
      <c r="K3627" s="25">
        <f t="shared" si="705"/>
        <v>3367156</v>
      </c>
      <c r="L3627" s="95">
        <f>+L3626-G3627</f>
        <v>13826667</v>
      </c>
      <c r="M3627" s="20"/>
      <c r="N3627" s="20"/>
      <c r="P3627" s="84">
        <v>9422650168</v>
      </c>
      <c r="Q3627" s="174">
        <v>44378</v>
      </c>
      <c r="R3627" s="125">
        <v>170000</v>
      </c>
      <c r="S3627" s="125">
        <v>217600</v>
      </c>
      <c r="W3627" s="31"/>
      <c r="X3627" s="131"/>
    </row>
    <row r="3628" spans="1:24" ht="15" hidden="1" x14ac:dyDescent="0.25">
      <c r="B3628" s="89">
        <v>44476.083333333336</v>
      </c>
      <c r="C3628" s="92" t="s">
        <v>3394</v>
      </c>
      <c r="D3628" s="23"/>
      <c r="E3628" s="91">
        <v>3400000</v>
      </c>
      <c r="F3628" s="93"/>
      <c r="G3628" s="93">
        <f t="shared" si="704"/>
        <v>3400000</v>
      </c>
      <c r="H3628" s="94"/>
      <c r="I3628" s="94"/>
      <c r="J3628" s="91">
        <v>29099.78</v>
      </c>
      <c r="K3628" s="25">
        <f t="shared" si="705"/>
        <v>3370900.22</v>
      </c>
      <c r="L3628" s="95">
        <f>+L3627-G3628</f>
        <v>10426667</v>
      </c>
      <c r="M3628" s="20"/>
      <c r="N3628" s="20"/>
      <c r="P3628" s="84">
        <v>9423872734</v>
      </c>
      <c r="Q3628" s="174">
        <v>44409</v>
      </c>
      <c r="R3628" s="125">
        <v>170000</v>
      </c>
      <c r="S3628" s="125">
        <v>217600</v>
      </c>
      <c r="W3628" s="31"/>
      <c r="X3628" s="131"/>
    </row>
    <row r="3629" spans="1:24" ht="15" hidden="1" x14ac:dyDescent="0.25">
      <c r="B3629" s="89">
        <v>44508.125</v>
      </c>
      <c r="C3629" s="92" t="s">
        <v>3395</v>
      </c>
      <c r="D3629" s="23"/>
      <c r="E3629" s="91">
        <v>3400000</v>
      </c>
      <c r="F3629" s="93"/>
      <c r="G3629" s="93">
        <f t="shared" si="704"/>
        <v>3400000</v>
      </c>
      <c r="H3629" s="94"/>
      <c r="I3629" s="94"/>
      <c r="J3629" s="91">
        <v>29099.78</v>
      </c>
      <c r="K3629" s="25">
        <f t="shared" si="705"/>
        <v>3370900.22</v>
      </c>
      <c r="L3629" s="95">
        <f>+L3628-G3629</f>
        <v>7026667</v>
      </c>
      <c r="M3629" s="20"/>
      <c r="N3629" s="20"/>
      <c r="P3629" s="84">
        <v>9425101147</v>
      </c>
      <c r="Q3629" s="174">
        <v>44440</v>
      </c>
      <c r="R3629" s="125">
        <v>170000</v>
      </c>
      <c r="S3629" s="125">
        <v>217600</v>
      </c>
      <c r="W3629" s="31"/>
      <c r="X3629" s="131"/>
    </row>
    <row r="3630" spans="1:24" ht="15" hidden="1" x14ac:dyDescent="0.25">
      <c r="B3630" s="89">
        <v>44539.125</v>
      </c>
      <c r="C3630" s="92" t="s">
        <v>3396</v>
      </c>
      <c r="D3630" s="23"/>
      <c r="E3630" s="91">
        <v>3400000</v>
      </c>
      <c r="F3630" s="93"/>
      <c r="G3630" s="93">
        <f t="shared" si="704"/>
        <v>3400000</v>
      </c>
      <c r="H3630" s="94"/>
      <c r="I3630" s="94"/>
      <c r="J3630" s="91">
        <v>29099.78</v>
      </c>
      <c r="K3630" s="25">
        <f t="shared" si="705"/>
        <v>3370900.22</v>
      </c>
      <c r="L3630" s="95">
        <f>+L3629-G3630</f>
        <v>3626667</v>
      </c>
      <c r="M3630" s="20"/>
      <c r="N3630" s="20"/>
      <c r="P3630" s="84">
        <v>9426284280</v>
      </c>
      <c r="Q3630" s="174">
        <v>44470</v>
      </c>
      <c r="R3630" s="125">
        <v>170000</v>
      </c>
      <c r="S3630" s="125">
        <v>217600</v>
      </c>
      <c r="W3630" s="31"/>
      <c r="X3630" s="131"/>
    </row>
    <row r="3631" spans="1:24" ht="15" hidden="1" x14ac:dyDescent="0.25">
      <c r="B3631" s="89">
        <v>44550.125</v>
      </c>
      <c r="C3631" s="92" t="s">
        <v>3397</v>
      </c>
      <c r="D3631" s="23"/>
      <c r="E3631" s="91">
        <v>3400000</v>
      </c>
      <c r="F3631" s="93"/>
      <c r="G3631" s="93">
        <f t="shared" si="704"/>
        <v>3400000</v>
      </c>
      <c r="H3631" s="94"/>
      <c r="I3631" s="94"/>
      <c r="J3631" s="91">
        <v>29099.78</v>
      </c>
      <c r="K3631" s="25">
        <f t="shared" si="705"/>
        <v>3370900.22</v>
      </c>
      <c r="L3631" s="95">
        <f>+L3630-G3631</f>
        <v>226667</v>
      </c>
      <c r="M3631" s="20"/>
      <c r="N3631" s="20"/>
      <c r="P3631" s="84">
        <v>9427552277</v>
      </c>
      <c r="Q3631" s="174">
        <v>44501</v>
      </c>
      <c r="R3631" s="125">
        <v>170000</v>
      </c>
      <c r="S3631" s="125">
        <v>217600</v>
      </c>
      <c r="W3631" s="31"/>
      <c r="X3631" s="131"/>
    </row>
    <row r="3632" spans="1:24" ht="15" hidden="1" x14ac:dyDescent="0.25">
      <c r="B3632" s="89"/>
      <c r="C3632" s="92"/>
      <c r="D3632" s="23"/>
      <c r="E3632" s="91"/>
      <c r="F3632" s="93"/>
      <c r="G3632" s="93"/>
      <c r="H3632" s="94"/>
      <c r="I3632" s="94"/>
      <c r="J3632" s="91"/>
      <c r="K3632" s="25"/>
      <c r="L3632" s="95"/>
      <c r="M3632" s="20"/>
      <c r="N3632" s="20"/>
      <c r="P3632" s="84">
        <v>9428221529</v>
      </c>
      <c r="Q3632" s="174">
        <v>44531</v>
      </c>
      <c r="R3632" s="125">
        <v>170000</v>
      </c>
      <c r="S3632" s="125">
        <v>217600</v>
      </c>
      <c r="W3632" s="31"/>
      <c r="X3632" s="131"/>
    </row>
    <row r="3633" spans="1:24" ht="15" hidden="1" x14ac:dyDescent="0.25">
      <c r="B3633" s="89"/>
      <c r="C3633" s="92"/>
      <c r="D3633" s="23"/>
      <c r="E3633" s="91"/>
      <c r="F3633" s="93"/>
      <c r="G3633" s="93"/>
      <c r="H3633" s="94"/>
      <c r="I3633" s="94"/>
      <c r="J3633" s="91"/>
      <c r="K3633" s="25"/>
      <c r="L3633" s="95"/>
      <c r="M3633" s="20"/>
      <c r="N3633" s="20"/>
      <c r="P3633" s="84"/>
      <c r="Q3633" s="174"/>
      <c r="R3633" s="177">
        <f>SUM(R3621:R3632)</f>
        <v>1983600</v>
      </c>
      <c r="S3633" s="178">
        <f>SUM(S3621:S3632)</f>
        <v>2539000</v>
      </c>
      <c r="W3633" s="31"/>
      <c r="X3633" s="131"/>
    </row>
    <row r="3634" spans="1:24" ht="15" hidden="1" x14ac:dyDescent="0.25">
      <c r="A3634" s="21">
        <v>1992021</v>
      </c>
      <c r="B3634" s="139" t="s">
        <v>3398</v>
      </c>
      <c r="C3634" s="140"/>
      <c r="D3634" s="141">
        <v>87302800</v>
      </c>
      <c r="E3634" s="141">
        <f>+D3634</f>
        <v>87302800</v>
      </c>
      <c r="F3634" s="141"/>
      <c r="G3634" s="141"/>
      <c r="H3634" s="141"/>
      <c r="I3634" s="141"/>
      <c r="J3634" s="141"/>
      <c r="K3634" s="141"/>
      <c r="L3634" s="141">
        <f>+D3634</f>
        <v>87302800</v>
      </c>
      <c r="M3634" s="142"/>
      <c r="N3634" s="142"/>
      <c r="O3634" s="149">
        <f>+VLOOKUP(A3634,'[1]ANEXO 7 - PPTO VIG 2021'!$H$8:$AB$160,21,)-L3645</f>
        <v>-267800</v>
      </c>
    </row>
    <row r="3635" spans="1:24" ht="15" hidden="1" x14ac:dyDescent="0.25">
      <c r="B3635" s="89">
        <v>44272.083333333336</v>
      </c>
      <c r="C3635" s="92" t="s">
        <v>3399</v>
      </c>
      <c r="D3635" s="23"/>
      <c r="E3635" s="91">
        <v>6695000</v>
      </c>
      <c r="F3635" s="93"/>
      <c r="G3635" s="93">
        <f t="shared" ref="G3635:G3645" si="707">+E3635</f>
        <v>6695000</v>
      </c>
      <c r="H3635" s="94"/>
      <c r="I3635" s="94">
        <v>92120.08</v>
      </c>
      <c r="J3635" s="91">
        <v>57300.9</v>
      </c>
      <c r="K3635" s="25">
        <f t="shared" ref="K3635:K3645" si="708">+G3635-H3635-I3635-J3635</f>
        <v>6545579.0199999996</v>
      </c>
      <c r="L3635" s="95">
        <f t="shared" ref="L3635:L3640" si="709">+L3634-G3635</f>
        <v>80607800</v>
      </c>
      <c r="M3635" s="96"/>
      <c r="N3635" s="96"/>
      <c r="P3635" s="21">
        <v>9416753929</v>
      </c>
      <c r="Q3635" s="127">
        <v>44228</v>
      </c>
      <c r="R3635" s="14">
        <v>401700</v>
      </c>
      <c r="S3635" s="14">
        <v>514200</v>
      </c>
      <c r="T3635" s="3">
        <f>+L3634-267800</f>
        <v>87035000</v>
      </c>
      <c r="U3635" s="3">
        <f>+T3635*40%</f>
        <v>34814000</v>
      </c>
    </row>
    <row r="3636" spans="1:24" ht="15" hidden="1" x14ac:dyDescent="0.25">
      <c r="B3636" s="89">
        <v>44299.083333333336</v>
      </c>
      <c r="C3636" s="92" t="s">
        <v>3400</v>
      </c>
      <c r="D3636" s="23"/>
      <c r="E3636" s="91">
        <v>8034000</v>
      </c>
      <c r="F3636" s="93"/>
      <c r="G3636" s="93">
        <f t="shared" si="707"/>
        <v>8034000</v>
      </c>
      <c r="H3636" s="94"/>
      <c r="I3636" s="91">
        <v>242094.77</v>
      </c>
      <c r="J3636" s="91">
        <v>68761.08</v>
      </c>
      <c r="K3636" s="25">
        <f t="shared" si="708"/>
        <v>7723144.1500000004</v>
      </c>
      <c r="L3636" s="95">
        <f t="shared" si="709"/>
        <v>72573800</v>
      </c>
      <c r="M3636" s="96"/>
      <c r="N3636" s="96"/>
      <c r="P3636" s="55">
        <v>9417552023</v>
      </c>
      <c r="Q3636" s="127">
        <v>44256</v>
      </c>
      <c r="R3636" s="14">
        <v>401700</v>
      </c>
      <c r="S3636" s="14">
        <v>514200</v>
      </c>
      <c r="U3636" s="3"/>
    </row>
    <row r="3637" spans="1:24" ht="15" hidden="1" x14ac:dyDescent="0.25">
      <c r="B3637" s="89">
        <v>44328.083333333336</v>
      </c>
      <c r="C3637" s="92" t="s">
        <v>3401</v>
      </c>
      <c r="D3637" s="23"/>
      <c r="E3637" s="91">
        <v>8034000</v>
      </c>
      <c r="F3637" s="93"/>
      <c r="G3637" s="93">
        <f t="shared" si="707"/>
        <v>8034000</v>
      </c>
      <c r="H3637" s="94"/>
      <c r="I3637" s="94">
        <v>242094.77</v>
      </c>
      <c r="J3637" s="91">
        <v>68761.08</v>
      </c>
      <c r="K3637" s="25">
        <f t="shared" si="708"/>
        <v>7723144.1500000004</v>
      </c>
      <c r="L3637" s="95">
        <f t="shared" si="709"/>
        <v>64539800</v>
      </c>
      <c r="M3637" s="20">
        <v>8034000</v>
      </c>
      <c r="N3637" s="20">
        <f>+G3637-M3637</f>
        <v>0</v>
      </c>
      <c r="P3637" s="55">
        <v>9418692000</v>
      </c>
      <c r="Q3637" s="127">
        <v>44287</v>
      </c>
      <c r="R3637" s="14">
        <v>401700</v>
      </c>
      <c r="S3637" s="14">
        <v>514200</v>
      </c>
      <c r="U3637" s="3">
        <f>+U3635*12.5%</f>
        <v>4351750</v>
      </c>
      <c r="V3637" s="172" t="s">
        <v>2769</v>
      </c>
    </row>
    <row r="3638" spans="1:24" ht="15" hidden="1" x14ac:dyDescent="0.25">
      <c r="B3638" s="89">
        <v>44358.083333333336</v>
      </c>
      <c r="C3638" s="92" t="s">
        <v>3402</v>
      </c>
      <c r="D3638" s="23"/>
      <c r="E3638" s="91">
        <v>8034000</v>
      </c>
      <c r="F3638" s="93"/>
      <c r="G3638" s="93">
        <f t="shared" si="707"/>
        <v>8034000</v>
      </c>
      <c r="H3638" s="94"/>
      <c r="I3638" s="94">
        <v>242094.77</v>
      </c>
      <c r="J3638" s="91">
        <v>68761.08</v>
      </c>
      <c r="K3638" s="25">
        <f t="shared" si="708"/>
        <v>7723144.1500000004</v>
      </c>
      <c r="L3638" s="95">
        <f t="shared" si="709"/>
        <v>56505800</v>
      </c>
      <c r="M3638" s="20"/>
      <c r="N3638" s="20"/>
      <c r="P3638" s="84">
        <v>9419813749</v>
      </c>
      <c r="Q3638" s="174">
        <v>44317</v>
      </c>
      <c r="R3638" s="14">
        <v>401700</v>
      </c>
      <c r="S3638" s="14">
        <v>514200</v>
      </c>
      <c r="U3638" s="3">
        <f>+U3635*16%</f>
        <v>5570240</v>
      </c>
      <c r="V3638" s="173" t="s">
        <v>2771</v>
      </c>
    </row>
    <row r="3639" spans="1:24" ht="15" hidden="1" x14ac:dyDescent="0.25">
      <c r="B3639" s="89">
        <v>44384.083333333336</v>
      </c>
      <c r="C3639" s="92" t="s">
        <v>3403</v>
      </c>
      <c r="D3639" s="23"/>
      <c r="E3639" s="91">
        <v>8034000</v>
      </c>
      <c r="F3639" s="93"/>
      <c r="G3639" s="93">
        <f t="shared" si="707"/>
        <v>8034000</v>
      </c>
      <c r="H3639" s="94"/>
      <c r="I3639" s="94">
        <v>242094.77</v>
      </c>
      <c r="J3639" s="91">
        <v>68761.08</v>
      </c>
      <c r="K3639" s="25">
        <f t="shared" si="708"/>
        <v>7723144.1500000004</v>
      </c>
      <c r="L3639" s="95">
        <f t="shared" si="709"/>
        <v>48471800</v>
      </c>
      <c r="M3639" s="20"/>
      <c r="N3639" s="20"/>
      <c r="P3639" s="84">
        <v>9420990593</v>
      </c>
      <c r="Q3639" s="174">
        <v>44348</v>
      </c>
      <c r="R3639" s="14">
        <v>401700</v>
      </c>
      <c r="S3639" s="14">
        <v>514200</v>
      </c>
    </row>
    <row r="3640" spans="1:24" ht="15" hidden="1" x14ac:dyDescent="0.25">
      <c r="B3640" s="89">
        <v>44419.083333333336</v>
      </c>
      <c r="C3640" s="92" t="s">
        <v>3404</v>
      </c>
      <c r="D3640" s="23"/>
      <c r="E3640" s="91">
        <v>8034000</v>
      </c>
      <c r="F3640" s="93"/>
      <c r="G3640" s="93">
        <f t="shared" si="707"/>
        <v>8034000</v>
      </c>
      <c r="H3640" s="94"/>
      <c r="I3640" s="94">
        <v>242094.77</v>
      </c>
      <c r="J3640" s="91">
        <v>68761.08</v>
      </c>
      <c r="K3640" s="25">
        <f t="shared" si="708"/>
        <v>7723144.1500000004</v>
      </c>
      <c r="L3640" s="95">
        <f t="shared" si="709"/>
        <v>40437800</v>
      </c>
      <c r="M3640" s="20"/>
      <c r="N3640" s="20"/>
      <c r="P3640" s="84">
        <v>1056781371</v>
      </c>
      <c r="Q3640" s="174">
        <v>44378</v>
      </c>
      <c r="R3640" s="14">
        <v>401700</v>
      </c>
      <c r="S3640" s="14">
        <v>514200</v>
      </c>
      <c r="W3640" s="31">
        <v>8034000</v>
      </c>
      <c r="X3640" s="131">
        <f>+E3640-W3640</f>
        <v>0</v>
      </c>
    </row>
    <row r="3641" spans="1:24" ht="15" hidden="1" x14ac:dyDescent="0.25">
      <c r="B3641" s="89">
        <v>44447.083333333336</v>
      </c>
      <c r="C3641" s="92" t="s">
        <v>3405</v>
      </c>
      <c r="D3641" s="23"/>
      <c r="E3641" s="91">
        <v>8034000</v>
      </c>
      <c r="F3641" s="93"/>
      <c r="G3641" s="93">
        <f t="shared" si="707"/>
        <v>8034000</v>
      </c>
      <c r="H3641" s="94"/>
      <c r="I3641" s="94">
        <v>242094.77</v>
      </c>
      <c r="J3641" s="91">
        <v>68761.08</v>
      </c>
      <c r="K3641" s="25">
        <f t="shared" si="708"/>
        <v>7723144.1500000004</v>
      </c>
      <c r="L3641" s="95">
        <f>+L3640-G3641</f>
        <v>32403800</v>
      </c>
      <c r="M3641" s="20"/>
      <c r="N3641" s="20"/>
      <c r="P3641" s="84">
        <v>9423521497</v>
      </c>
      <c r="Q3641" s="174">
        <v>44409</v>
      </c>
      <c r="R3641" s="14">
        <v>401700</v>
      </c>
      <c r="S3641" s="14">
        <v>514200</v>
      </c>
      <c r="W3641" s="31"/>
      <c r="X3641" s="131"/>
    </row>
    <row r="3642" spans="1:24" ht="15" hidden="1" x14ac:dyDescent="0.25">
      <c r="B3642" s="89">
        <v>44481.083333333336</v>
      </c>
      <c r="C3642" s="92" t="s">
        <v>3406</v>
      </c>
      <c r="D3642" s="23"/>
      <c r="E3642" s="91">
        <v>8034000</v>
      </c>
      <c r="F3642" s="93"/>
      <c r="G3642" s="93">
        <f t="shared" si="707"/>
        <v>8034000</v>
      </c>
      <c r="H3642" s="94"/>
      <c r="I3642" s="94">
        <v>242094.77</v>
      </c>
      <c r="J3642" s="91">
        <v>68761.08</v>
      </c>
      <c r="K3642" s="25">
        <f t="shared" si="708"/>
        <v>7723144.1500000004</v>
      </c>
      <c r="L3642" s="95">
        <f>+L3641-G3642</f>
        <v>24369800</v>
      </c>
      <c r="M3642" s="20"/>
      <c r="N3642" s="20"/>
      <c r="P3642" s="84">
        <v>9424522341</v>
      </c>
      <c r="Q3642" s="174">
        <v>44440</v>
      </c>
      <c r="R3642" s="14">
        <v>401700</v>
      </c>
      <c r="S3642" s="14">
        <v>514200</v>
      </c>
      <c r="W3642" s="31"/>
      <c r="X3642" s="131"/>
    </row>
    <row r="3643" spans="1:24" ht="15" hidden="1" x14ac:dyDescent="0.25">
      <c r="B3643" s="89">
        <v>44516.125</v>
      </c>
      <c r="C3643" s="92" t="s">
        <v>3407</v>
      </c>
      <c r="D3643" s="23"/>
      <c r="E3643" s="91">
        <v>8034000</v>
      </c>
      <c r="F3643" s="93"/>
      <c r="G3643" s="93">
        <f t="shared" si="707"/>
        <v>8034000</v>
      </c>
      <c r="H3643" s="94"/>
      <c r="I3643" s="94">
        <v>242094.77</v>
      </c>
      <c r="J3643" s="91">
        <v>68761.08</v>
      </c>
      <c r="K3643" s="25">
        <f t="shared" si="708"/>
        <v>7723144.1500000004</v>
      </c>
      <c r="L3643" s="95">
        <f>+L3642-G3643</f>
        <v>16335800</v>
      </c>
      <c r="M3643" s="20"/>
      <c r="N3643" s="20"/>
      <c r="P3643" s="84">
        <v>9426439494</v>
      </c>
      <c r="Q3643" s="174">
        <v>44470</v>
      </c>
      <c r="R3643" s="14">
        <v>401700</v>
      </c>
      <c r="S3643" s="14">
        <v>514200</v>
      </c>
      <c r="W3643" s="31"/>
      <c r="X3643" s="131"/>
    </row>
    <row r="3644" spans="1:24" ht="15" hidden="1" x14ac:dyDescent="0.25">
      <c r="B3644" s="89">
        <v>44543.125</v>
      </c>
      <c r="C3644" s="92" t="s">
        <v>3408</v>
      </c>
      <c r="D3644" s="23"/>
      <c r="E3644" s="91">
        <v>8034000</v>
      </c>
      <c r="F3644" s="93"/>
      <c r="G3644" s="93">
        <f t="shared" si="707"/>
        <v>8034000</v>
      </c>
      <c r="H3644" s="94"/>
      <c r="I3644" s="94">
        <v>242094.77</v>
      </c>
      <c r="J3644" s="91">
        <v>68761.08</v>
      </c>
      <c r="K3644" s="25">
        <f t="shared" si="708"/>
        <v>7723144.1500000004</v>
      </c>
      <c r="L3644" s="95">
        <f>+L3643-G3644</f>
        <v>8301800</v>
      </c>
      <c r="M3644" s="20"/>
      <c r="N3644" s="20"/>
      <c r="P3644" s="84">
        <v>9427070406</v>
      </c>
      <c r="Q3644" s="174">
        <v>44501</v>
      </c>
      <c r="R3644" s="14">
        <v>401700</v>
      </c>
      <c r="S3644" s="14">
        <v>514200</v>
      </c>
      <c r="W3644" s="31"/>
      <c r="X3644" s="131"/>
    </row>
    <row r="3645" spans="1:24" ht="15" hidden="1" x14ac:dyDescent="0.25">
      <c r="B3645" s="89">
        <v>44551.125</v>
      </c>
      <c r="C3645" s="92" t="s">
        <v>3409</v>
      </c>
      <c r="D3645" s="23"/>
      <c r="E3645" s="91">
        <v>8034000</v>
      </c>
      <c r="F3645" s="93"/>
      <c r="G3645" s="93">
        <f t="shared" si="707"/>
        <v>8034000</v>
      </c>
      <c r="H3645" s="94"/>
      <c r="I3645" s="94">
        <v>242094.77</v>
      </c>
      <c r="J3645" s="91">
        <v>68761.08</v>
      </c>
      <c r="K3645" s="25">
        <f t="shared" si="708"/>
        <v>7723144.1500000004</v>
      </c>
      <c r="L3645" s="95">
        <f>+L3644-G3645</f>
        <v>267800</v>
      </c>
      <c r="M3645" s="20"/>
      <c r="N3645" s="20"/>
      <c r="P3645" s="84">
        <v>9428128113</v>
      </c>
      <c r="Q3645" s="174">
        <v>44531</v>
      </c>
      <c r="R3645" s="14">
        <v>401700</v>
      </c>
      <c r="S3645" s="14">
        <v>514200</v>
      </c>
      <c r="W3645" s="31"/>
      <c r="X3645" s="131"/>
    </row>
    <row r="3646" spans="1:24" ht="15" hidden="1" x14ac:dyDescent="0.25">
      <c r="B3646" s="89"/>
      <c r="C3646" s="92"/>
      <c r="D3646" s="23"/>
      <c r="E3646" s="91"/>
      <c r="F3646" s="93"/>
      <c r="G3646" s="93"/>
      <c r="H3646" s="94"/>
      <c r="I3646" s="94"/>
      <c r="J3646" s="91"/>
      <c r="K3646" s="25"/>
      <c r="L3646" s="95"/>
      <c r="M3646" s="20"/>
      <c r="N3646" s="20"/>
      <c r="P3646" s="84"/>
      <c r="Q3646" s="174"/>
      <c r="R3646" s="177">
        <f>SUM(R3635:R3645)</f>
        <v>4418700</v>
      </c>
      <c r="S3646" s="178">
        <f>SUM(S3635:S3645)</f>
        <v>5656200</v>
      </c>
      <c r="W3646" s="31"/>
      <c r="X3646" s="131"/>
    </row>
    <row r="3647" spans="1:24" ht="15" hidden="1" x14ac:dyDescent="0.25">
      <c r="B3647" s="89"/>
      <c r="C3647" s="92"/>
      <c r="D3647" s="23"/>
      <c r="E3647" s="91"/>
      <c r="F3647" s="93"/>
      <c r="G3647" s="93"/>
      <c r="H3647" s="94"/>
      <c r="I3647" s="94"/>
      <c r="J3647" s="91"/>
      <c r="K3647" s="25"/>
      <c r="L3647" s="95"/>
      <c r="M3647" s="20"/>
      <c r="N3647" s="20"/>
      <c r="P3647" s="84"/>
      <c r="Q3647" s="174"/>
      <c r="R3647" s="177"/>
      <c r="S3647" s="178"/>
      <c r="W3647" s="31"/>
      <c r="X3647" s="131"/>
    </row>
    <row r="3648" spans="1:24" ht="15" hidden="1" x14ac:dyDescent="0.25">
      <c r="A3648" s="21">
        <v>2552021</v>
      </c>
      <c r="B3648" s="139" t="s">
        <v>3410</v>
      </c>
      <c r="C3648" s="140"/>
      <c r="D3648" s="141">
        <v>57130667</v>
      </c>
      <c r="E3648" s="141">
        <f>+D3648</f>
        <v>57130667</v>
      </c>
      <c r="F3648" s="141"/>
      <c r="G3648" s="141"/>
      <c r="H3648" s="141"/>
      <c r="I3648" s="141"/>
      <c r="J3648" s="141"/>
      <c r="K3648" s="141"/>
      <c r="L3648" s="141">
        <f>+D3648</f>
        <v>57130667</v>
      </c>
      <c r="M3648" s="142"/>
      <c r="N3648" s="142"/>
      <c r="O3648" s="149">
        <f>+VLOOKUP(A3648,'[1]ANEXO 7 - PPTO VIG 2021'!$H$8:$AB$160,21,)-L3659</f>
        <v>0</v>
      </c>
    </row>
    <row r="3649" spans="1:24" ht="15" hidden="1" x14ac:dyDescent="0.25">
      <c r="B3649" s="89">
        <v>44266.125</v>
      </c>
      <c r="C3649" s="92" t="s">
        <v>3411</v>
      </c>
      <c r="D3649" s="23"/>
      <c r="E3649" s="91">
        <v>3570667</v>
      </c>
      <c r="F3649" s="93"/>
      <c r="G3649" s="93">
        <f t="shared" ref="G3649:G3659" si="710">+E3649</f>
        <v>3570667</v>
      </c>
      <c r="H3649" s="94"/>
      <c r="I3649" s="94">
        <v>0</v>
      </c>
      <c r="J3649" s="91">
        <v>30560.48</v>
      </c>
      <c r="K3649" s="25">
        <f t="shared" ref="K3649:K3659" si="711">+G3649-H3649-I3649-J3649</f>
        <v>3540106.52</v>
      </c>
      <c r="L3649" s="95">
        <f t="shared" ref="L3649:L3659" si="712">+L3648-G3649</f>
        <v>53560000</v>
      </c>
      <c r="M3649" s="96"/>
      <c r="N3649" s="96"/>
      <c r="P3649" s="21">
        <v>2327788505</v>
      </c>
      <c r="Q3649" s="127">
        <v>44228</v>
      </c>
      <c r="R3649" s="14">
        <v>196400</v>
      </c>
      <c r="S3649" s="14">
        <v>251400</v>
      </c>
      <c r="T3649" s="3">
        <f>+L3648</f>
        <v>57130667</v>
      </c>
      <c r="U3649" s="3">
        <f>+T3649*40%</f>
        <v>22852266.800000001</v>
      </c>
    </row>
    <row r="3650" spans="1:24" ht="15" hidden="1" x14ac:dyDescent="0.25">
      <c r="B3650" s="89">
        <v>44300.083333333336</v>
      </c>
      <c r="C3650" s="92" t="s">
        <v>3412</v>
      </c>
      <c r="D3650" s="23"/>
      <c r="E3650" s="91">
        <v>5356000</v>
      </c>
      <c r="F3650" s="93"/>
      <c r="G3650" s="93">
        <f t="shared" si="710"/>
        <v>5356000</v>
      </c>
      <c r="H3650" s="94"/>
      <c r="I3650" s="91">
        <v>19266.37</v>
      </c>
      <c r="J3650" s="91">
        <v>45840.72</v>
      </c>
      <c r="K3650" s="25">
        <f t="shared" si="711"/>
        <v>5290892.91</v>
      </c>
      <c r="L3650" s="95">
        <f t="shared" si="712"/>
        <v>48204000</v>
      </c>
      <c r="M3650" s="96"/>
      <c r="N3650" s="96"/>
      <c r="P3650" s="55">
        <v>15580176</v>
      </c>
      <c r="Q3650" s="127">
        <v>44256</v>
      </c>
      <c r="R3650" s="14">
        <v>267800</v>
      </c>
      <c r="S3650" s="14">
        <v>342800</v>
      </c>
      <c r="U3650" s="3"/>
    </row>
    <row r="3651" spans="1:24" ht="15" hidden="1" x14ac:dyDescent="0.25">
      <c r="B3651" s="89">
        <v>44327.083333333336</v>
      </c>
      <c r="C3651" s="92" t="s">
        <v>3413</v>
      </c>
      <c r="D3651" s="23"/>
      <c r="E3651" s="91">
        <v>5356000</v>
      </c>
      <c r="F3651" s="93"/>
      <c r="G3651" s="93">
        <f t="shared" si="710"/>
        <v>5356000</v>
      </c>
      <c r="H3651" s="94"/>
      <c r="I3651" s="94">
        <v>19266.37</v>
      </c>
      <c r="J3651" s="91">
        <v>45840.72</v>
      </c>
      <c r="K3651" s="25">
        <f t="shared" si="711"/>
        <v>5290892.91</v>
      </c>
      <c r="L3651" s="95">
        <f t="shared" si="712"/>
        <v>42848000</v>
      </c>
      <c r="M3651" s="20">
        <v>5356000</v>
      </c>
      <c r="N3651" s="20">
        <f>+G3651-M3651</f>
        <v>0</v>
      </c>
      <c r="P3651" s="55">
        <v>1731233399</v>
      </c>
      <c r="Q3651" s="127">
        <v>44287</v>
      </c>
      <c r="R3651" s="14">
        <v>267800</v>
      </c>
      <c r="S3651" s="14">
        <v>342800</v>
      </c>
      <c r="U3651" s="3">
        <f>+U3649*12.5%</f>
        <v>2856533.35</v>
      </c>
      <c r="V3651" s="172" t="s">
        <v>2769</v>
      </c>
    </row>
    <row r="3652" spans="1:24" ht="15" hidden="1" x14ac:dyDescent="0.25">
      <c r="B3652" s="89">
        <v>44356.083333333336</v>
      </c>
      <c r="C3652" s="92" t="s">
        <v>3414</v>
      </c>
      <c r="D3652" s="23"/>
      <c r="E3652" s="91">
        <v>5356000</v>
      </c>
      <c r="F3652" s="93"/>
      <c r="G3652" s="93">
        <f t="shared" si="710"/>
        <v>5356000</v>
      </c>
      <c r="H3652" s="94"/>
      <c r="I3652" s="94">
        <v>19266.37</v>
      </c>
      <c r="J3652" s="91">
        <v>45840.72</v>
      </c>
      <c r="K3652" s="25">
        <f t="shared" si="711"/>
        <v>5290892.91</v>
      </c>
      <c r="L3652" s="95">
        <f t="shared" si="712"/>
        <v>37492000</v>
      </c>
      <c r="M3652" s="20"/>
      <c r="N3652" s="20"/>
      <c r="P3652" s="84">
        <v>7789996651</v>
      </c>
      <c r="Q3652" s="174">
        <v>44317</v>
      </c>
      <c r="R3652" s="125">
        <v>287800</v>
      </c>
      <c r="S3652" s="125">
        <v>342800</v>
      </c>
      <c r="U3652" s="3">
        <f>+U3649*16%</f>
        <v>3656362.6880000001</v>
      </c>
      <c r="V3652" s="173" t="s">
        <v>2771</v>
      </c>
    </row>
    <row r="3653" spans="1:24" ht="15" hidden="1" x14ac:dyDescent="0.25">
      <c r="B3653" s="89">
        <v>44390.083333333336</v>
      </c>
      <c r="C3653" s="92" t="s">
        <v>3415</v>
      </c>
      <c r="D3653" s="23"/>
      <c r="E3653" s="91">
        <v>5356000</v>
      </c>
      <c r="F3653" s="93"/>
      <c r="G3653" s="93">
        <f t="shared" si="710"/>
        <v>5356000</v>
      </c>
      <c r="H3653" s="94"/>
      <c r="I3653" s="94">
        <v>19266.37</v>
      </c>
      <c r="J3653" s="91">
        <v>45840.72</v>
      </c>
      <c r="K3653" s="25">
        <f t="shared" si="711"/>
        <v>5290892.91</v>
      </c>
      <c r="L3653" s="95">
        <f t="shared" si="712"/>
        <v>32136000</v>
      </c>
      <c r="M3653" s="20"/>
      <c r="N3653" s="20"/>
      <c r="P3653" s="84">
        <v>7801816357</v>
      </c>
      <c r="Q3653" s="174">
        <v>44348</v>
      </c>
      <c r="R3653" s="125">
        <v>287800</v>
      </c>
      <c r="S3653" s="125">
        <v>342800</v>
      </c>
    </row>
    <row r="3654" spans="1:24" ht="15" hidden="1" x14ac:dyDescent="0.25">
      <c r="B3654" s="89">
        <v>44425.083333333336</v>
      </c>
      <c r="C3654" s="92" t="s">
        <v>3416</v>
      </c>
      <c r="D3654" s="23"/>
      <c r="E3654" s="91">
        <v>5356000</v>
      </c>
      <c r="F3654" s="93"/>
      <c r="G3654" s="93">
        <f t="shared" si="710"/>
        <v>5356000</v>
      </c>
      <c r="H3654" s="94"/>
      <c r="I3654" s="94">
        <v>19266.37</v>
      </c>
      <c r="J3654" s="91">
        <v>45840.72</v>
      </c>
      <c r="K3654" s="25">
        <f t="shared" si="711"/>
        <v>5290892.91</v>
      </c>
      <c r="L3654" s="95">
        <f t="shared" si="712"/>
        <v>26780000</v>
      </c>
      <c r="M3654" s="20"/>
      <c r="N3654" s="20"/>
      <c r="P3654" s="84">
        <v>7805055318</v>
      </c>
      <c r="Q3654" s="174">
        <v>44378</v>
      </c>
      <c r="R3654" s="125">
        <v>267800</v>
      </c>
      <c r="S3654" s="125">
        <v>342800</v>
      </c>
      <c r="W3654" s="31">
        <v>5356000</v>
      </c>
      <c r="X3654" s="131">
        <f>+E3654-W3654</f>
        <v>0</v>
      </c>
    </row>
    <row r="3655" spans="1:24" ht="15" hidden="1" x14ac:dyDescent="0.25">
      <c r="B3655" s="89">
        <v>44448.083333333336</v>
      </c>
      <c r="C3655" s="92" t="s">
        <v>3417</v>
      </c>
      <c r="D3655" s="23"/>
      <c r="E3655" s="91">
        <v>5356000</v>
      </c>
      <c r="F3655" s="93"/>
      <c r="G3655" s="93">
        <f t="shared" si="710"/>
        <v>5356000</v>
      </c>
      <c r="H3655" s="94"/>
      <c r="I3655" s="94">
        <v>19266.37</v>
      </c>
      <c r="J3655" s="91">
        <v>45840.72</v>
      </c>
      <c r="K3655" s="25">
        <f t="shared" si="711"/>
        <v>5290892.91</v>
      </c>
      <c r="L3655" s="95">
        <f t="shared" si="712"/>
        <v>21424000</v>
      </c>
      <c r="M3655" s="20"/>
      <c r="N3655" s="20"/>
      <c r="P3655" s="84">
        <v>7808298971</v>
      </c>
      <c r="Q3655" s="174">
        <v>44409</v>
      </c>
      <c r="R3655" s="125">
        <v>267800</v>
      </c>
      <c r="S3655" s="125">
        <v>342800</v>
      </c>
      <c r="W3655" s="31"/>
      <c r="X3655" s="131"/>
    </row>
    <row r="3656" spans="1:24" ht="15" hidden="1" x14ac:dyDescent="0.25">
      <c r="B3656" s="89">
        <v>44484.083333333336</v>
      </c>
      <c r="C3656" s="92" t="s">
        <v>3418</v>
      </c>
      <c r="D3656" s="23"/>
      <c r="E3656" s="91">
        <v>5356000</v>
      </c>
      <c r="F3656" s="93"/>
      <c r="G3656" s="93">
        <f t="shared" si="710"/>
        <v>5356000</v>
      </c>
      <c r="H3656" s="94"/>
      <c r="I3656" s="94">
        <v>19266.37</v>
      </c>
      <c r="J3656" s="91">
        <v>45840.72</v>
      </c>
      <c r="K3656" s="25">
        <f t="shared" si="711"/>
        <v>5290892.91</v>
      </c>
      <c r="L3656" s="95">
        <f t="shared" si="712"/>
        <v>16068000</v>
      </c>
      <c r="M3656" s="20"/>
      <c r="N3656" s="20"/>
      <c r="P3656" s="84">
        <v>7811509721</v>
      </c>
      <c r="Q3656" s="174">
        <v>44440</v>
      </c>
      <c r="R3656" s="125">
        <v>267800</v>
      </c>
      <c r="S3656" s="125">
        <v>342800</v>
      </c>
      <c r="W3656" s="31"/>
      <c r="X3656" s="131"/>
    </row>
    <row r="3657" spans="1:24" ht="15" hidden="1" x14ac:dyDescent="0.25">
      <c r="B3657" s="89">
        <v>44511.125</v>
      </c>
      <c r="C3657" s="92" t="s">
        <v>3419</v>
      </c>
      <c r="D3657" s="23"/>
      <c r="E3657" s="91">
        <v>5356000</v>
      </c>
      <c r="F3657" s="93"/>
      <c r="G3657" s="93">
        <f t="shared" si="710"/>
        <v>5356000</v>
      </c>
      <c r="H3657" s="94"/>
      <c r="I3657" s="94">
        <v>19266.37</v>
      </c>
      <c r="J3657" s="91">
        <v>45840.72</v>
      </c>
      <c r="K3657" s="25">
        <f t="shared" si="711"/>
        <v>5290892.91</v>
      </c>
      <c r="L3657" s="95">
        <f t="shared" si="712"/>
        <v>10712000</v>
      </c>
      <c r="M3657" s="20"/>
      <c r="N3657" s="20"/>
      <c r="P3657" s="84">
        <v>7814885811</v>
      </c>
      <c r="Q3657" s="174">
        <v>44470</v>
      </c>
      <c r="R3657" s="125">
        <v>267800</v>
      </c>
      <c r="S3657" s="125">
        <v>342800</v>
      </c>
      <c r="W3657" s="31"/>
      <c r="X3657" s="131"/>
    </row>
    <row r="3658" spans="1:24" ht="15" hidden="1" x14ac:dyDescent="0.25">
      <c r="B3658" s="89">
        <v>44540.125</v>
      </c>
      <c r="C3658" s="92" t="s">
        <v>3420</v>
      </c>
      <c r="D3658" s="23"/>
      <c r="E3658" s="91">
        <v>5356000</v>
      </c>
      <c r="F3658" s="93"/>
      <c r="G3658" s="93">
        <f t="shared" si="710"/>
        <v>5356000</v>
      </c>
      <c r="H3658" s="94"/>
      <c r="I3658" s="94">
        <v>19266.37</v>
      </c>
      <c r="J3658" s="91">
        <v>45840.72</v>
      </c>
      <c r="K3658" s="25">
        <f t="shared" si="711"/>
        <v>5290892.91</v>
      </c>
      <c r="L3658" s="95">
        <f t="shared" si="712"/>
        <v>5356000</v>
      </c>
      <c r="M3658" s="20"/>
      <c r="N3658" s="20"/>
      <c r="P3658" s="84">
        <v>7818260212</v>
      </c>
      <c r="Q3658" s="174">
        <v>44501</v>
      </c>
      <c r="R3658" s="125">
        <v>267800</v>
      </c>
      <c r="S3658" s="125">
        <v>342800</v>
      </c>
      <c r="W3658" s="31"/>
      <c r="X3658" s="131"/>
    </row>
    <row r="3659" spans="1:24" ht="15" hidden="1" x14ac:dyDescent="0.25">
      <c r="B3659" s="89">
        <v>44551.125</v>
      </c>
      <c r="C3659" s="92" t="s">
        <v>3421</v>
      </c>
      <c r="D3659" s="23"/>
      <c r="E3659" s="91">
        <v>5356000</v>
      </c>
      <c r="F3659" s="93"/>
      <c r="G3659" s="93">
        <f t="shared" si="710"/>
        <v>5356000</v>
      </c>
      <c r="H3659" s="94"/>
      <c r="I3659" s="94">
        <v>19266.37</v>
      </c>
      <c r="J3659" s="91">
        <v>45840.72</v>
      </c>
      <c r="K3659" s="25">
        <f t="shared" si="711"/>
        <v>5290892.91</v>
      </c>
      <c r="L3659" s="95">
        <f t="shared" si="712"/>
        <v>0</v>
      </c>
      <c r="M3659" s="20"/>
      <c r="N3659" s="20"/>
      <c r="P3659" s="84">
        <v>7820167815</v>
      </c>
      <c r="Q3659" s="174">
        <v>44531</v>
      </c>
      <c r="R3659" s="125">
        <v>267800</v>
      </c>
      <c r="S3659" s="125">
        <v>342800</v>
      </c>
      <c r="W3659" s="31"/>
      <c r="X3659" s="131"/>
    </row>
    <row r="3660" spans="1:24" ht="15" hidden="1" x14ac:dyDescent="0.25">
      <c r="B3660" s="89"/>
      <c r="C3660" s="92"/>
      <c r="D3660" s="23"/>
      <c r="E3660" s="91"/>
      <c r="F3660" s="93"/>
      <c r="G3660" s="93"/>
      <c r="H3660" s="94"/>
      <c r="I3660" s="94"/>
      <c r="J3660" s="91"/>
      <c r="K3660" s="25"/>
      <c r="L3660" s="95"/>
      <c r="M3660" s="20"/>
      <c r="N3660" s="20"/>
      <c r="P3660" s="84"/>
      <c r="Q3660" s="174"/>
      <c r="R3660" s="177">
        <f>SUM(R3649:R3659)</f>
        <v>2914400</v>
      </c>
      <c r="S3660" s="178">
        <f>SUM(S3649:S3659)</f>
        <v>3679400</v>
      </c>
      <c r="W3660" s="31"/>
      <c r="X3660" s="131"/>
    </row>
    <row r="3661" spans="1:24" ht="15" hidden="1" x14ac:dyDescent="0.25">
      <c r="A3661" s="21">
        <v>1822021</v>
      </c>
      <c r="B3661" s="139" t="s">
        <v>3422</v>
      </c>
      <c r="C3661" s="140"/>
      <c r="D3661" s="141">
        <v>58916000</v>
      </c>
      <c r="E3661" s="141">
        <f>+D3661</f>
        <v>58916000</v>
      </c>
      <c r="F3661" s="141"/>
      <c r="G3661" s="141"/>
      <c r="H3661" s="141"/>
      <c r="I3661" s="141"/>
      <c r="J3661" s="141"/>
      <c r="K3661" s="141"/>
      <c r="L3661" s="141">
        <f>+D3661</f>
        <v>58916000</v>
      </c>
      <c r="M3661" s="142"/>
      <c r="N3661" s="142"/>
      <c r="O3661" s="149">
        <f>+VLOOKUP(A3661,'[1]ANEXO 7 - PPTO VIG 2021'!$H$8:$AB$160,21,)-L3672</f>
        <v>-535600</v>
      </c>
    </row>
    <row r="3662" spans="1:24" ht="15" hidden="1" x14ac:dyDescent="0.25">
      <c r="B3662" s="89">
        <v>44260.125</v>
      </c>
      <c r="C3662" s="92" t="s">
        <v>3423</v>
      </c>
      <c r="D3662" s="23"/>
      <c r="E3662" s="91">
        <v>4820400</v>
      </c>
      <c r="F3662" s="93"/>
      <c r="G3662" s="93">
        <f t="shared" ref="G3662:G3672" si="713">+E3662</f>
        <v>4820400</v>
      </c>
      <c r="H3662" s="94"/>
      <c r="I3662" s="94">
        <v>0</v>
      </c>
      <c r="J3662" s="91">
        <v>41256.65</v>
      </c>
      <c r="K3662" s="25">
        <f t="shared" ref="K3662:K3672" si="714">+G3662-H3662-I3662-J3662</f>
        <v>4779143.3499999996</v>
      </c>
      <c r="L3662" s="95">
        <f t="shared" ref="L3662:L3667" si="715">+L3661-G3662</f>
        <v>54095600</v>
      </c>
      <c r="M3662" s="96"/>
      <c r="N3662" s="96"/>
      <c r="P3662" s="21">
        <v>48765147</v>
      </c>
      <c r="Q3662" s="127">
        <v>44228</v>
      </c>
      <c r="R3662" s="14">
        <v>267800</v>
      </c>
      <c r="S3662" s="14">
        <v>342800</v>
      </c>
      <c r="T3662" s="3">
        <f>+L3661-535600</f>
        <v>58380400</v>
      </c>
      <c r="U3662" s="3">
        <f>+T3662*40%</f>
        <v>23352160</v>
      </c>
    </row>
    <row r="3663" spans="1:24" ht="15" hidden="1" x14ac:dyDescent="0.25">
      <c r="B3663" s="89">
        <v>44299.083333333336</v>
      </c>
      <c r="C3663" s="92" t="s">
        <v>3424</v>
      </c>
      <c r="D3663" s="23"/>
      <c r="E3663" s="91">
        <v>5356000</v>
      </c>
      <c r="F3663" s="93"/>
      <c r="G3663" s="93">
        <f t="shared" si="713"/>
        <v>5356000</v>
      </c>
      <c r="H3663" s="94"/>
      <c r="I3663" s="94"/>
      <c r="J3663" s="91">
        <v>45840.72</v>
      </c>
      <c r="K3663" s="25">
        <f t="shared" si="714"/>
        <v>5310159.28</v>
      </c>
      <c r="L3663" s="95">
        <f t="shared" si="715"/>
        <v>48739600</v>
      </c>
      <c r="M3663" s="96"/>
      <c r="N3663" s="96"/>
      <c r="P3663" s="21">
        <v>49321482</v>
      </c>
      <c r="Q3663" s="127">
        <v>44256</v>
      </c>
      <c r="R3663" s="14">
        <v>267800</v>
      </c>
      <c r="S3663" s="14">
        <v>342800</v>
      </c>
      <c r="U3663" s="3"/>
    </row>
    <row r="3664" spans="1:24" ht="15" hidden="1" x14ac:dyDescent="0.25">
      <c r="B3664" s="89">
        <v>44320.083333333336</v>
      </c>
      <c r="C3664" s="92" t="s">
        <v>3425</v>
      </c>
      <c r="D3664" s="23"/>
      <c r="E3664" s="91">
        <v>5356000</v>
      </c>
      <c r="F3664" s="93"/>
      <c r="G3664" s="93">
        <f t="shared" si="713"/>
        <v>5356000</v>
      </c>
      <c r="H3664" s="94"/>
      <c r="I3664" s="94"/>
      <c r="J3664" s="91">
        <v>45840.72</v>
      </c>
      <c r="K3664" s="25">
        <f t="shared" si="714"/>
        <v>5310159.28</v>
      </c>
      <c r="L3664" s="95">
        <f t="shared" si="715"/>
        <v>43383600</v>
      </c>
      <c r="M3664" s="20">
        <v>5356000</v>
      </c>
      <c r="N3664" s="20">
        <f>+G3664-M3664</f>
        <v>0</v>
      </c>
      <c r="P3664" s="55">
        <v>50023713</v>
      </c>
      <c r="Q3664" s="127">
        <v>44287</v>
      </c>
      <c r="R3664" s="14">
        <v>267800</v>
      </c>
      <c r="S3664" s="14">
        <v>342800</v>
      </c>
      <c r="U3664" s="3">
        <f>+U3662*12.5%</f>
        <v>2919020</v>
      </c>
      <c r="V3664" s="172" t="s">
        <v>2769</v>
      </c>
    </row>
    <row r="3665" spans="1:24" ht="15" hidden="1" x14ac:dyDescent="0.25">
      <c r="B3665" s="89">
        <v>44349.083333333336</v>
      </c>
      <c r="C3665" s="92" t="s">
        <v>3426</v>
      </c>
      <c r="D3665" s="23"/>
      <c r="E3665" s="91">
        <v>5356000</v>
      </c>
      <c r="F3665" s="93"/>
      <c r="G3665" s="93">
        <f t="shared" si="713"/>
        <v>5356000</v>
      </c>
      <c r="H3665" s="94"/>
      <c r="I3665" s="94"/>
      <c r="J3665" s="91">
        <v>45840.72</v>
      </c>
      <c r="K3665" s="25">
        <f t="shared" si="714"/>
        <v>5310159.28</v>
      </c>
      <c r="L3665" s="95">
        <f t="shared" si="715"/>
        <v>38027600</v>
      </c>
      <c r="M3665" s="20"/>
      <c r="N3665" s="20"/>
      <c r="P3665" s="84">
        <v>1000659194</v>
      </c>
      <c r="Q3665" s="174">
        <v>44317</v>
      </c>
      <c r="R3665" s="125">
        <v>267800</v>
      </c>
      <c r="S3665" s="125">
        <v>342800</v>
      </c>
      <c r="U3665" s="3">
        <f>+U3662*16%</f>
        <v>3736345.6</v>
      </c>
      <c r="V3665" s="173" t="s">
        <v>2771</v>
      </c>
    </row>
    <row r="3666" spans="1:24" ht="15" hidden="1" x14ac:dyDescent="0.25">
      <c r="B3666" s="89">
        <v>44385.083333333336</v>
      </c>
      <c r="C3666" s="92" t="s">
        <v>3427</v>
      </c>
      <c r="D3666" s="23"/>
      <c r="E3666" s="91">
        <v>5356000</v>
      </c>
      <c r="F3666" s="93"/>
      <c r="G3666" s="93">
        <f t="shared" si="713"/>
        <v>5356000</v>
      </c>
      <c r="H3666" s="94"/>
      <c r="I3666" s="94"/>
      <c r="J3666" s="91">
        <v>45840.72</v>
      </c>
      <c r="K3666" s="25">
        <f t="shared" si="714"/>
        <v>5310159.28</v>
      </c>
      <c r="L3666" s="95">
        <f t="shared" si="715"/>
        <v>32671600</v>
      </c>
      <c r="M3666" s="20"/>
      <c r="N3666" s="20"/>
      <c r="P3666" s="84">
        <v>1033855801</v>
      </c>
      <c r="Q3666" s="174">
        <v>44348</v>
      </c>
      <c r="R3666" s="125">
        <v>267800</v>
      </c>
      <c r="S3666" s="125">
        <v>342800</v>
      </c>
    </row>
    <row r="3667" spans="1:24" ht="15" hidden="1" x14ac:dyDescent="0.25">
      <c r="B3667" s="89">
        <v>44411.083333333336</v>
      </c>
      <c r="C3667" s="92" t="s">
        <v>3428</v>
      </c>
      <c r="D3667" s="23"/>
      <c r="E3667" s="91">
        <v>5356000</v>
      </c>
      <c r="F3667" s="93"/>
      <c r="G3667" s="93">
        <f t="shared" si="713"/>
        <v>5356000</v>
      </c>
      <c r="H3667" s="94"/>
      <c r="I3667" s="94"/>
      <c r="J3667" s="91">
        <v>45840.72</v>
      </c>
      <c r="K3667" s="25">
        <f t="shared" si="714"/>
        <v>5310159.28</v>
      </c>
      <c r="L3667" s="95">
        <f t="shared" si="715"/>
        <v>27315600</v>
      </c>
      <c r="M3667" s="20"/>
      <c r="N3667" s="20"/>
      <c r="P3667" s="84">
        <v>51910064</v>
      </c>
      <c r="Q3667" s="174">
        <v>44378</v>
      </c>
      <c r="R3667" s="125">
        <v>267800</v>
      </c>
      <c r="S3667" s="125">
        <v>342800</v>
      </c>
      <c r="W3667" s="31">
        <v>5356000</v>
      </c>
      <c r="X3667" s="131">
        <f>+E3667-W3667</f>
        <v>0</v>
      </c>
    </row>
    <row r="3668" spans="1:24" ht="15" hidden="1" x14ac:dyDescent="0.25">
      <c r="B3668" s="89">
        <v>44442.083333333336</v>
      </c>
      <c r="C3668" s="92" t="s">
        <v>3429</v>
      </c>
      <c r="D3668" s="23"/>
      <c r="E3668" s="91">
        <v>5356000</v>
      </c>
      <c r="F3668" s="93"/>
      <c r="G3668" s="93">
        <f t="shared" si="713"/>
        <v>5356000</v>
      </c>
      <c r="H3668" s="94"/>
      <c r="I3668" s="94"/>
      <c r="J3668" s="91">
        <v>45840.72</v>
      </c>
      <c r="K3668" s="25">
        <f t="shared" si="714"/>
        <v>5310159.28</v>
      </c>
      <c r="L3668" s="95">
        <f>+L3667-G3668</f>
        <v>21959600</v>
      </c>
      <c r="M3668" s="20"/>
      <c r="N3668" s="20"/>
      <c r="P3668" s="84">
        <v>52433538</v>
      </c>
      <c r="Q3668" s="174">
        <v>44409</v>
      </c>
      <c r="R3668" s="125">
        <v>267800</v>
      </c>
      <c r="S3668" s="125">
        <v>342800</v>
      </c>
      <c r="W3668" s="31"/>
      <c r="X3668" s="131"/>
    </row>
    <row r="3669" spans="1:24" ht="15" hidden="1" x14ac:dyDescent="0.25">
      <c r="B3669" s="89">
        <v>44474.083333333336</v>
      </c>
      <c r="C3669" s="92" t="s">
        <v>3430</v>
      </c>
      <c r="D3669" s="23"/>
      <c r="E3669" s="91">
        <v>5356000</v>
      </c>
      <c r="F3669" s="93"/>
      <c r="G3669" s="93">
        <f t="shared" si="713"/>
        <v>5356000</v>
      </c>
      <c r="H3669" s="94"/>
      <c r="I3669" s="94"/>
      <c r="J3669" s="91">
        <v>45840.72</v>
      </c>
      <c r="K3669" s="25">
        <f t="shared" si="714"/>
        <v>5310159.28</v>
      </c>
      <c r="L3669" s="95">
        <f>+L3668-G3669</f>
        <v>16603600</v>
      </c>
      <c r="M3669" s="20"/>
      <c r="N3669" s="20"/>
      <c r="P3669" s="84">
        <v>53491767</v>
      </c>
      <c r="Q3669" s="174">
        <v>44440</v>
      </c>
      <c r="R3669" s="125">
        <v>267800</v>
      </c>
      <c r="S3669" s="125">
        <v>342800</v>
      </c>
      <c r="W3669" s="31"/>
      <c r="X3669" s="131"/>
    </row>
    <row r="3670" spans="1:24" ht="15" hidden="1" x14ac:dyDescent="0.25">
      <c r="B3670" s="89">
        <v>44508.125</v>
      </c>
      <c r="C3670" s="92" t="s">
        <v>3431</v>
      </c>
      <c r="D3670" s="23"/>
      <c r="E3670" s="91">
        <v>5356000</v>
      </c>
      <c r="F3670" s="93"/>
      <c r="G3670" s="93">
        <f t="shared" si="713"/>
        <v>5356000</v>
      </c>
      <c r="H3670" s="94"/>
      <c r="I3670" s="94"/>
      <c r="J3670" s="91">
        <v>45840.72</v>
      </c>
      <c r="K3670" s="25">
        <f t="shared" si="714"/>
        <v>5310159.28</v>
      </c>
      <c r="L3670" s="95">
        <f>+L3669-G3670</f>
        <v>11247600</v>
      </c>
      <c r="M3670" s="20"/>
      <c r="N3670" s="20"/>
      <c r="P3670" s="84">
        <v>54079004</v>
      </c>
      <c r="Q3670" s="174">
        <v>44470</v>
      </c>
      <c r="R3670" s="125">
        <v>267800</v>
      </c>
      <c r="S3670" s="125">
        <v>342800</v>
      </c>
      <c r="W3670" s="31"/>
      <c r="X3670" s="131"/>
    </row>
    <row r="3671" spans="1:24" ht="15" hidden="1" x14ac:dyDescent="0.25">
      <c r="B3671" s="89">
        <v>44536.125</v>
      </c>
      <c r="C3671" s="92" t="s">
        <v>3432</v>
      </c>
      <c r="D3671" s="23"/>
      <c r="E3671" s="91">
        <v>5356000</v>
      </c>
      <c r="F3671" s="93"/>
      <c r="G3671" s="93">
        <f t="shared" si="713"/>
        <v>5356000</v>
      </c>
      <c r="H3671" s="94"/>
      <c r="I3671" s="94"/>
      <c r="J3671" s="91">
        <v>45840.72</v>
      </c>
      <c r="K3671" s="25">
        <f t="shared" si="714"/>
        <v>5310159.28</v>
      </c>
      <c r="L3671" s="95">
        <f>+L3670-G3671</f>
        <v>5891600</v>
      </c>
      <c r="M3671" s="20"/>
      <c r="N3671" s="20"/>
      <c r="P3671" s="84">
        <v>54725754</v>
      </c>
      <c r="Q3671" s="174">
        <v>44501</v>
      </c>
      <c r="R3671" s="125">
        <v>267800</v>
      </c>
      <c r="S3671" s="125">
        <v>342800</v>
      </c>
      <c r="W3671" s="31"/>
      <c r="X3671" s="131"/>
    </row>
    <row r="3672" spans="1:24" ht="15" hidden="1" x14ac:dyDescent="0.25">
      <c r="B3672" s="89">
        <v>44559.125</v>
      </c>
      <c r="C3672" s="92" t="s">
        <v>3433</v>
      </c>
      <c r="D3672" s="23"/>
      <c r="E3672" s="91">
        <v>5356000</v>
      </c>
      <c r="F3672" s="93"/>
      <c r="G3672" s="93">
        <f t="shared" si="713"/>
        <v>5356000</v>
      </c>
      <c r="H3672" s="94"/>
      <c r="I3672" s="94"/>
      <c r="J3672" s="91">
        <v>45840.72</v>
      </c>
      <c r="K3672" s="25">
        <f t="shared" si="714"/>
        <v>5310159.28</v>
      </c>
      <c r="L3672" s="95">
        <f>+L3671-G3672</f>
        <v>535600</v>
      </c>
      <c r="M3672" s="20"/>
      <c r="N3672" s="20"/>
      <c r="P3672" s="84">
        <v>55159990</v>
      </c>
      <c r="Q3672" s="174">
        <v>44531</v>
      </c>
      <c r="R3672" s="125">
        <v>267800</v>
      </c>
      <c r="S3672" s="125">
        <v>342800</v>
      </c>
      <c r="W3672" s="31"/>
      <c r="X3672" s="131"/>
    </row>
    <row r="3673" spans="1:24" ht="15" hidden="1" x14ac:dyDescent="0.25">
      <c r="B3673" s="89"/>
      <c r="C3673" s="92"/>
      <c r="D3673" s="23"/>
      <c r="E3673" s="91"/>
      <c r="F3673" s="93"/>
      <c r="G3673" s="93"/>
      <c r="H3673" s="94"/>
      <c r="I3673" s="94"/>
      <c r="J3673" s="91"/>
      <c r="K3673" s="25"/>
      <c r="L3673" s="95"/>
      <c r="M3673" s="20"/>
      <c r="N3673" s="20"/>
      <c r="P3673" s="84"/>
      <c r="Q3673" s="174"/>
      <c r="R3673" s="177">
        <f>SUM(R3662:R3672)</f>
        <v>2945800</v>
      </c>
      <c r="S3673" s="178">
        <f>SUM(S3662:S3672)</f>
        <v>3770800</v>
      </c>
      <c r="W3673" s="31"/>
      <c r="X3673" s="131"/>
    </row>
    <row r="3674" spans="1:24" ht="15" hidden="1" x14ac:dyDescent="0.25">
      <c r="B3674" s="139" t="s">
        <v>3434</v>
      </c>
      <c r="C3674" s="140"/>
      <c r="D3674" s="141">
        <v>28840000</v>
      </c>
      <c r="E3674" s="141">
        <f>+D3674</f>
        <v>28840000</v>
      </c>
      <c r="F3674" s="141"/>
      <c r="G3674" s="141"/>
      <c r="H3674" s="141"/>
      <c r="I3674" s="141"/>
      <c r="J3674" s="141"/>
      <c r="K3674" s="141"/>
      <c r="L3674" s="141">
        <f>+D3674</f>
        <v>28840000</v>
      </c>
      <c r="M3674" s="142"/>
      <c r="N3674" s="142"/>
      <c r="O3674" s="130">
        <f>+L3677-'[1]ANEXO 7 - PPTO VIG 2021'!AB151</f>
        <v>0</v>
      </c>
    </row>
    <row r="3675" spans="1:24" ht="15" hidden="1" x14ac:dyDescent="0.25">
      <c r="B3675" s="89">
        <v>44266.125</v>
      </c>
      <c r="C3675" s="92" t="s">
        <v>3435</v>
      </c>
      <c r="D3675" s="23"/>
      <c r="E3675" s="91">
        <v>4806667</v>
      </c>
      <c r="F3675" s="93"/>
      <c r="G3675" s="93">
        <f>+E3675</f>
        <v>4806667</v>
      </c>
      <c r="H3675" s="94"/>
      <c r="I3675" s="94">
        <v>0</v>
      </c>
      <c r="J3675" s="91">
        <v>41139.11</v>
      </c>
      <c r="K3675" s="25">
        <f>+G3675-H3675-I3675-J3675</f>
        <v>4765527.8899999997</v>
      </c>
      <c r="L3675" s="95">
        <f>+L3674-G3675</f>
        <v>24033333</v>
      </c>
      <c r="M3675" s="96"/>
      <c r="N3675" s="96"/>
    </row>
    <row r="3676" spans="1:24" ht="15" hidden="1" x14ac:dyDescent="0.25">
      <c r="B3676" s="89">
        <v>44312.083333333336</v>
      </c>
      <c r="C3676" s="92" t="s">
        <v>3436</v>
      </c>
      <c r="D3676" s="23"/>
      <c r="E3676" s="91">
        <v>1922666</v>
      </c>
      <c r="F3676" s="93"/>
      <c r="G3676" s="93">
        <f>+E3676</f>
        <v>1922666</v>
      </c>
      <c r="H3676" s="94"/>
      <c r="I3676" s="94"/>
      <c r="J3676" s="91">
        <v>16455.64</v>
      </c>
      <c r="K3676" s="25">
        <f>+G3676-H3676-I3676-J3676</f>
        <v>1906210.36</v>
      </c>
      <c r="L3676" s="95">
        <f>+L3675-G3676</f>
        <v>22110667</v>
      </c>
      <c r="M3676" s="96"/>
      <c r="N3676" s="96"/>
    </row>
    <row r="3677" spans="1:24" ht="15" hidden="1" x14ac:dyDescent="0.25">
      <c r="B3677" s="89"/>
      <c r="C3677" s="194" t="s">
        <v>654</v>
      </c>
      <c r="D3677" s="23"/>
      <c r="E3677" s="91">
        <v>22110667</v>
      </c>
      <c r="F3677" s="93"/>
      <c r="G3677" s="93">
        <f>+E3677</f>
        <v>22110667</v>
      </c>
      <c r="H3677" s="94"/>
      <c r="I3677" s="94"/>
      <c r="J3677" s="91"/>
      <c r="K3677" s="25"/>
      <c r="L3677" s="95">
        <f>+L3676-G3677</f>
        <v>0</v>
      </c>
      <c r="M3677" s="96"/>
      <c r="N3677" s="96"/>
    </row>
    <row r="3678" spans="1:24" ht="15" hidden="1" x14ac:dyDescent="0.25">
      <c r="A3678" s="21">
        <v>2422021</v>
      </c>
      <c r="B3678" s="139" t="s">
        <v>3437</v>
      </c>
      <c r="C3678" s="140"/>
      <c r="D3678" s="141">
        <v>25923040</v>
      </c>
      <c r="E3678" s="141">
        <f>+D3678</f>
        <v>25923040</v>
      </c>
      <c r="F3678" s="141"/>
      <c r="G3678" s="141"/>
      <c r="H3678" s="141"/>
      <c r="I3678" s="141"/>
      <c r="J3678" s="141"/>
      <c r="K3678" s="141"/>
      <c r="L3678" s="141">
        <f>+D3678</f>
        <v>25923040</v>
      </c>
      <c r="M3678" s="142"/>
      <c r="N3678" s="142"/>
      <c r="O3678" s="149">
        <f>+VLOOKUP(A3678,'[1]ANEXO 7 - PPTO VIG 2021'!$H$8:$AB$160,21,)-L3689</f>
        <v>-864102</v>
      </c>
    </row>
    <row r="3679" spans="1:24" ht="15" hidden="1" x14ac:dyDescent="0.25">
      <c r="B3679" s="89">
        <v>44270.083333333336</v>
      </c>
      <c r="C3679" s="92" t="s">
        <v>3438</v>
      </c>
      <c r="D3679" s="23"/>
      <c r="E3679" s="91">
        <v>1492538</v>
      </c>
      <c r="F3679" s="93"/>
      <c r="G3679" s="93">
        <f t="shared" ref="G3679:G3689" si="716">+E3679</f>
        <v>1492538</v>
      </c>
      <c r="H3679" s="94"/>
      <c r="I3679" s="94">
        <v>0</v>
      </c>
      <c r="J3679" s="91">
        <v>12774.27</v>
      </c>
      <c r="K3679" s="25">
        <f t="shared" ref="K3679:K3689" si="717">+G3679-H3679-I3679-J3679</f>
        <v>1479763.73</v>
      </c>
      <c r="L3679" s="95">
        <f t="shared" ref="L3679:L3684" si="718">+L3678-G3679</f>
        <v>24430502</v>
      </c>
      <c r="M3679" s="96"/>
      <c r="N3679" s="96"/>
      <c r="P3679" s="21">
        <v>9416022473</v>
      </c>
      <c r="Q3679" s="127">
        <v>44228</v>
      </c>
      <c r="R3679" s="14">
        <v>113600</v>
      </c>
      <c r="S3679" s="14">
        <v>145400</v>
      </c>
      <c r="T3679" s="3">
        <f>+L3678-864102</f>
        <v>25058938</v>
      </c>
      <c r="U3679" s="3">
        <f>+T3679*40%</f>
        <v>10023575.200000001</v>
      </c>
    </row>
    <row r="3680" spans="1:24" ht="15" hidden="1" x14ac:dyDescent="0.25">
      <c r="B3680" s="89">
        <v>44295.083333333336</v>
      </c>
      <c r="C3680" s="92" t="s">
        <v>3439</v>
      </c>
      <c r="D3680" s="23"/>
      <c r="E3680" s="91">
        <v>2356640</v>
      </c>
      <c r="F3680" s="93"/>
      <c r="G3680" s="93">
        <f t="shared" si="716"/>
        <v>2356640</v>
      </c>
      <c r="H3680" s="94"/>
      <c r="I3680" s="94"/>
      <c r="J3680" s="91">
        <v>20169.919999999998</v>
      </c>
      <c r="K3680" s="25">
        <f t="shared" si="717"/>
        <v>2336470.08</v>
      </c>
      <c r="L3680" s="95">
        <f t="shared" si="718"/>
        <v>22073862</v>
      </c>
      <c r="M3680" s="96"/>
      <c r="N3680" s="96"/>
      <c r="P3680" s="55">
        <v>9417200356</v>
      </c>
      <c r="Q3680" s="127">
        <v>44256</v>
      </c>
      <c r="R3680" s="14">
        <v>117900</v>
      </c>
      <c r="S3680" s="14">
        <v>150900</v>
      </c>
      <c r="U3680" s="3"/>
    </row>
    <row r="3681" spans="1:24" ht="15" hidden="1" x14ac:dyDescent="0.25">
      <c r="B3681" s="89">
        <v>44321.083333333336</v>
      </c>
      <c r="C3681" s="92" t="s">
        <v>3440</v>
      </c>
      <c r="D3681" s="23"/>
      <c r="E3681" s="91">
        <v>2356640</v>
      </c>
      <c r="F3681" s="93"/>
      <c r="G3681" s="93">
        <f t="shared" si="716"/>
        <v>2356640</v>
      </c>
      <c r="H3681" s="94"/>
      <c r="I3681" s="94"/>
      <c r="J3681" s="91">
        <v>20169.919999999998</v>
      </c>
      <c r="K3681" s="25">
        <f t="shared" si="717"/>
        <v>2336470.08</v>
      </c>
      <c r="L3681" s="95">
        <f t="shared" si="718"/>
        <v>19717222</v>
      </c>
      <c r="M3681" s="20">
        <v>2356640</v>
      </c>
      <c r="N3681" s="20">
        <f>+G3681-M3681</f>
        <v>0</v>
      </c>
      <c r="P3681" s="55">
        <v>9417775510</v>
      </c>
      <c r="Q3681" s="127">
        <v>44287</v>
      </c>
      <c r="R3681" s="14">
        <v>117900</v>
      </c>
      <c r="S3681" s="14">
        <v>150900</v>
      </c>
      <c r="U3681" s="3">
        <f>+U3679*12.5%</f>
        <v>1252946.9000000001</v>
      </c>
      <c r="V3681" s="172" t="s">
        <v>2769</v>
      </c>
    </row>
    <row r="3682" spans="1:24" ht="15" hidden="1" x14ac:dyDescent="0.25">
      <c r="B3682" s="89">
        <v>44349.083333333336</v>
      </c>
      <c r="C3682" s="92" t="s">
        <v>3441</v>
      </c>
      <c r="D3682" s="23"/>
      <c r="E3682" s="91">
        <v>2356640</v>
      </c>
      <c r="F3682" s="93"/>
      <c r="G3682" s="93">
        <f t="shared" si="716"/>
        <v>2356640</v>
      </c>
      <c r="H3682" s="94"/>
      <c r="I3682" s="94"/>
      <c r="J3682" s="91">
        <v>20169.919999999998</v>
      </c>
      <c r="K3682" s="25">
        <f t="shared" si="717"/>
        <v>2336470.08</v>
      </c>
      <c r="L3682" s="95">
        <f t="shared" si="718"/>
        <v>17360582</v>
      </c>
      <c r="M3682" s="20"/>
      <c r="N3682" s="20"/>
      <c r="P3682" s="84">
        <v>9418963645</v>
      </c>
      <c r="Q3682" s="174">
        <v>44317</v>
      </c>
      <c r="R3682" s="125">
        <v>117900</v>
      </c>
      <c r="S3682" s="125">
        <v>150900</v>
      </c>
      <c r="U3682" s="3">
        <f>+U3679*16%</f>
        <v>1603772.0320000001</v>
      </c>
      <c r="V3682" s="173" t="s">
        <v>2771</v>
      </c>
    </row>
    <row r="3683" spans="1:24" ht="15" hidden="1" x14ac:dyDescent="0.25">
      <c r="B3683" s="89">
        <v>44384.083333333336</v>
      </c>
      <c r="C3683" s="92" t="s">
        <v>3442</v>
      </c>
      <c r="D3683" s="23"/>
      <c r="E3683" s="91">
        <v>2356640</v>
      </c>
      <c r="F3683" s="93"/>
      <c r="G3683" s="93">
        <f t="shared" si="716"/>
        <v>2356640</v>
      </c>
      <c r="H3683" s="94"/>
      <c r="I3683" s="94"/>
      <c r="J3683" s="91">
        <v>20169.919999999998</v>
      </c>
      <c r="K3683" s="25">
        <f t="shared" si="717"/>
        <v>2336470.08</v>
      </c>
      <c r="L3683" s="95">
        <f t="shared" si="718"/>
        <v>15003942</v>
      </c>
      <c r="M3683" s="20"/>
      <c r="N3683" s="20"/>
      <c r="P3683" s="84">
        <v>9420132078</v>
      </c>
      <c r="Q3683" s="174">
        <v>44348</v>
      </c>
      <c r="R3683" s="125">
        <v>117900</v>
      </c>
      <c r="S3683" s="125">
        <v>150900</v>
      </c>
    </row>
    <row r="3684" spans="1:24" ht="15" hidden="1" x14ac:dyDescent="0.25">
      <c r="B3684" s="89">
        <v>44418.083333333336</v>
      </c>
      <c r="C3684" s="92" t="s">
        <v>3443</v>
      </c>
      <c r="D3684" s="23"/>
      <c r="E3684" s="91">
        <v>2356640</v>
      </c>
      <c r="F3684" s="93"/>
      <c r="G3684" s="93">
        <f t="shared" si="716"/>
        <v>2356640</v>
      </c>
      <c r="H3684" s="94"/>
      <c r="I3684" s="94"/>
      <c r="J3684" s="91">
        <v>20169.919999999998</v>
      </c>
      <c r="K3684" s="25">
        <f t="shared" si="717"/>
        <v>2336470.08</v>
      </c>
      <c r="L3684" s="95">
        <f t="shared" si="718"/>
        <v>12647302</v>
      </c>
      <c r="M3684" s="20"/>
      <c r="N3684" s="20"/>
      <c r="P3684" s="84">
        <v>9421313175</v>
      </c>
      <c r="Q3684" s="174">
        <v>44378</v>
      </c>
      <c r="R3684" s="125">
        <v>117900</v>
      </c>
      <c r="S3684" s="125">
        <v>150900</v>
      </c>
      <c r="W3684" s="31" t="e">
        <v>#N/A</v>
      </c>
      <c r="X3684" s="131" t="e">
        <f>+E3684-W3684</f>
        <v>#N/A</v>
      </c>
    </row>
    <row r="3685" spans="1:24" ht="15" hidden="1" x14ac:dyDescent="0.25">
      <c r="B3685" s="89">
        <v>44447.083333333336</v>
      </c>
      <c r="C3685" s="92" t="s">
        <v>3444</v>
      </c>
      <c r="D3685" s="23"/>
      <c r="E3685" s="91">
        <v>2356640</v>
      </c>
      <c r="F3685" s="93"/>
      <c r="G3685" s="93">
        <f t="shared" si="716"/>
        <v>2356640</v>
      </c>
      <c r="H3685" s="94"/>
      <c r="I3685" s="94"/>
      <c r="J3685" s="91">
        <v>20169.919999999998</v>
      </c>
      <c r="K3685" s="25">
        <f t="shared" si="717"/>
        <v>2336470.08</v>
      </c>
      <c r="L3685" s="95">
        <f>+L3684-G3685</f>
        <v>10290662</v>
      </c>
      <c r="M3685" s="20"/>
      <c r="N3685" s="20"/>
      <c r="P3685" s="84">
        <v>9422510948</v>
      </c>
      <c r="Q3685" s="174">
        <v>44409</v>
      </c>
      <c r="R3685" s="125">
        <v>117900</v>
      </c>
      <c r="S3685" s="125">
        <v>150900</v>
      </c>
      <c r="W3685" s="31"/>
      <c r="X3685" s="131"/>
    </row>
    <row r="3686" spans="1:24" ht="15" hidden="1" x14ac:dyDescent="0.25">
      <c r="B3686" s="89">
        <v>44482.083333333336</v>
      </c>
      <c r="C3686" s="92" t="s">
        <v>3445</v>
      </c>
      <c r="D3686" s="23"/>
      <c r="E3686" s="91">
        <v>2356640</v>
      </c>
      <c r="F3686" s="93"/>
      <c r="G3686" s="93">
        <f t="shared" si="716"/>
        <v>2356640</v>
      </c>
      <c r="H3686" s="94"/>
      <c r="I3686" s="94"/>
      <c r="J3686" s="91">
        <v>20169.919999999998</v>
      </c>
      <c r="K3686" s="25">
        <f t="shared" si="717"/>
        <v>2336470.08</v>
      </c>
      <c r="L3686" s="95">
        <f>+L3685-G3686</f>
        <v>7934022</v>
      </c>
      <c r="M3686" s="20"/>
      <c r="N3686" s="20"/>
      <c r="P3686" s="84">
        <v>9424942574</v>
      </c>
      <c r="Q3686" s="174">
        <v>44440</v>
      </c>
      <c r="R3686" s="125">
        <v>117900</v>
      </c>
      <c r="S3686" s="125">
        <v>150900</v>
      </c>
      <c r="W3686" s="31"/>
      <c r="X3686" s="131"/>
    </row>
    <row r="3687" spans="1:24" ht="15" hidden="1" x14ac:dyDescent="0.25">
      <c r="B3687" s="89">
        <v>44512.125</v>
      </c>
      <c r="C3687" s="92" t="s">
        <v>3446</v>
      </c>
      <c r="D3687" s="23"/>
      <c r="E3687" s="91">
        <v>2356640</v>
      </c>
      <c r="F3687" s="93"/>
      <c r="G3687" s="93">
        <f t="shared" si="716"/>
        <v>2356640</v>
      </c>
      <c r="H3687" s="94"/>
      <c r="I3687" s="94"/>
      <c r="J3687" s="91">
        <v>20169.919999999998</v>
      </c>
      <c r="K3687" s="25">
        <f t="shared" si="717"/>
        <v>2336470.08</v>
      </c>
      <c r="L3687" s="95">
        <f>+L3686-G3687</f>
        <v>5577382</v>
      </c>
      <c r="M3687" s="20"/>
      <c r="N3687" s="20"/>
      <c r="P3687" s="84">
        <v>9426136797</v>
      </c>
      <c r="Q3687" s="174">
        <v>44470</v>
      </c>
      <c r="R3687" s="125">
        <v>117900</v>
      </c>
      <c r="S3687" s="125">
        <v>150900</v>
      </c>
      <c r="W3687" s="31"/>
      <c r="X3687" s="131"/>
    </row>
    <row r="3688" spans="1:24" ht="15" hidden="1" x14ac:dyDescent="0.25">
      <c r="B3688" s="89">
        <v>44533.125</v>
      </c>
      <c r="C3688" s="92" t="s">
        <v>3447</v>
      </c>
      <c r="D3688" s="23"/>
      <c r="E3688" s="91">
        <v>2356640</v>
      </c>
      <c r="F3688" s="93"/>
      <c r="G3688" s="93">
        <f t="shared" si="716"/>
        <v>2356640</v>
      </c>
      <c r="H3688" s="94"/>
      <c r="I3688" s="94"/>
      <c r="J3688" s="91">
        <v>20169.919999999998</v>
      </c>
      <c r="K3688" s="25">
        <f t="shared" si="717"/>
        <v>2336470.08</v>
      </c>
      <c r="L3688" s="95">
        <f>+L3687-G3688</f>
        <v>3220742</v>
      </c>
      <c r="M3688" s="20"/>
      <c r="N3688" s="20"/>
      <c r="P3688" s="84">
        <v>9427356422</v>
      </c>
      <c r="Q3688" s="174">
        <v>44501</v>
      </c>
      <c r="R3688" s="125">
        <v>117900</v>
      </c>
      <c r="S3688" s="125">
        <v>150900</v>
      </c>
      <c r="W3688" s="31"/>
      <c r="X3688" s="131"/>
    </row>
    <row r="3689" spans="1:24" ht="15" hidden="1" x14ac:dyDescent="0.25">
      <c r="B3689" s="89">
        <v>44551.125</v>
      </c>
      <c r="C3689" s="92" t="s">
        <v>3448</v>
      </c>
      <c r="D3689" s="23"/>
      <c r="E3689" s="91">
        <v>2356640</v>
      </c>
      <c r="F3689" s="93"/>
      <c r="G3689" s="93">
        <f t="shared" si="716"/>
        <v>2356640</v>
      </c>
      <c r="H3689" s="94"/>
      <c r="I3689" s="94"/>
      <c r="J3689" s="91">
        <v>20169.919999999998</v>
      </c>
      <c r="K3689" s="25">
        <f t="shared" si="717"/>
        <v>2336470.08</v>
      </c>
      <c r="L3689" s="95">
        <f>+L3688-G3689</f>
        <v>864102</v>
      </c>
      <c r="M3689" s="20"/>
      <c r="N3689" s="20"/>
      <c r="P3689" s="84">
        <v>9428244570</v>
      </c>
      <c r="Q3689" s="174">
        <v>44531</v>
      </c>
      <c r="R3689" s="125">
        <v>117900</v>
      </c>
      <c r="S3689" s="125">
        <v>150900</v>
      </c>
      <c r="W3689" s="31"/>
      <c r="X3689" s="131"/>
    </row>
    <row r="3690" spans="1:24" ht="15" hidden="1" x14ac:dyDescent="0.25">
      <c r="B3690" s="89"/>
      <c r="C3690" s="92"/>
      <c r="D3690" s="23"/>
      <c r="E3690" s="91"/>
      <c r="F3690" s="93"/>
      <c r="G3690" s="93"/>
      <c r="H3690" s="94"/>
      <c r="I3690" s="94"/>
      <c r="J3690" s="91"/>
      <c r="K3690" s="25"/>
      <c r="L3690" s="95"/>
      <c r="M3690" s="20"/>
      <c r="N3690" s="20"/>
      <c r="P3690" s="84"/>
      <c r="Q3690" s="174"/>
      <c r="R3690" s="177">
        <f>SUM(R3679:R3689)</f>
        <v>1292600</v>
      </c>
      <c r="S3690" s="178">
        <f>SUM(S3679:S3689)</f>
        <v>1654400</v>
      </c>
      <c r="W3690" s="31"/>
      <c r="X3690" s="131"/>
    </row>
    <row r="3691" spans="1:24" ht="15" hidden="1" x14ac:dyDescent="0.25">
      <c r="A3691" s="21">
        <v>3372021</v>
      </c>
      <c r="B3691" s="139" t="s">
        <v>3449</v>
      </c>
      <c r="C3691" s="140"/>
      <c r="D3691" s="141">
        <v>69930133</v>
      </c>
      <c r="E3691" s="141">
        <f>+D3691</f>
        <v>69930133</v>
      </c>
      <c r="F3691" s="141"/>
      <c r="G3691" s="141"/>
      <c r="H3691" s="141"/>
      <c r="I3691" s="141"/>
      <c r="J3691" s="141"/>
      <c r="K3691" s="141"/>
      <c r="L3691" s="141">
        <f>+D3691</f>
        <v>69930133</v>
      </c>
      <c r="M3691" s="142"/>
      <c r="N3691" s="142"/>
      <c r="O3691" s="149">
        <f>+VLOOKUP(A3691,'[1]ANEXO 7 - PPTO VIG 2021'!$H$8:$AB$160,21,)-L3702</f>
        <v>-230033</v>
      </c>
    </row>
    <row r="3692" spans="1:24" ht="15" hidden="1" x14ac:dyDescent="0.25">
      <c r="B3692" s="89">
        <v>44279.083333333336</v>
      </c>
      <c r="C3692" s="92" t="s">
        <v>3450</v>
      </c>
      <c r="D3692" s="23"/>
      <c r="E3692" s="91">
        <v>690100</v>
      </c>
      <c r="F3692" s="93"/>
      <c r="G3692" s="93">
        <f t="shared" ref="G3692:G3702" si="719">+E3692</f>
        <v>690100</v>
      </c>
      <c r="H3692" s="94"/>
      <c r="I3692" s="94">
        <v>0</v>
      </c>
      <c r="J3692" s="91">
        <v>5906.4</v>
      </c>
      <c r="K3692" s="25">
        <f t="shared" ref="K3692:K3702" si="720">+G3692-H3692-I3692-J3692</f>
        <v>684193.6</v>
      </c>
      <c r="L3692" s="95">
        <f t="shared" ref="L3692:L3702" si="721">+L3691-G3692</f>
        <v>69240033</v>
      </c>
      <c r="M3692" s="96"/>
      <c r="N3692" s="96"/>
      <c r="P3692" s="21">
        <v>7779259918</v>
      </c>
      <c r="Q3692" s="127">
        <v>44228</v>
      </c>
      <c r="R3692" s="14">
        <v>113600</v>
      </c>
      <c r="S3692" s="14">
        <v>145400</v>
      </c>
      <c r="T3692" s="3">
        <f>+L3691-230033</f>
        <v>69700100</v>
      </c>
      <c r="U3692" s="3">
        <f>+T3692*40%</f>
        <v>27880040</v>
      </c>
    </row>
    <row r="3693" spans="1:24" ht="15" hidden="1" x14ac:dyDescent="0.25">
      <c r="B3693" s="89">
        <v>44300.083333333336</v>
      </c>
      <c r="C3693" s="92" t="s">
        <v>3451</v>
      </c>
      <c r="D3693" s="23"/>
      <c r="E3693" s="91">
        <v>6901000</v>
      </c>
      <c r="F3693" s="93"/>
      <c r="G3693" s="93">
        <f t="shared" si="719"/>
        <v>6901000</v>
      </c>
      <c r="H3693" s="94"/>
      <c r="I3693" s="91">
        <v>213860.11</v>
      </c>
      <c r="J3693" s="91">
        <v>59064</v>
      </c>
      <c r="K3693" s="25">
        <f t="shared" si="720"/>
        <v>6628075.8899999997</v>
      </c>
      <c r="L3693" s="95">
        <f t="shared" si="721"/>
        <v>62339033</v>
      </c>
      <c r="M3693" s="96"/>
      <c r="N3693" s="96"/>
      <c r="P3693" s="55">
        <v>7781739587</v>
      </c>
      <c r="Q3693" s="127">
        <v>44256</v>
      </c>
      <c r="R3693" s="14">
        <v>345100</v>
      </c>
      <c r="S3693" s="14">
        <v>441700</v>
      </c>
      <c r="U3693" s="3"/>
    </row>
    <row r="3694" spans="1:24" ht="15" hidden="1" x14ac:dyDescent="0.25">
      <c r="B3694" s="89">
        <v>44327.083333333336</v>
      </c>
      <c r="C3694" s="92" t="s">
        <v>3452</v>
      </c>
      <c r="D3694" s="23"/>
      <c r="E3694" s="91">
        <v>6901000</v>
      </c>
      <c r="F3694" s="93"/>
      <c r="G3694" s="93">
        <f t="shared" si="719"/>
        <v>6901000</v>
      </c>
      <c r="H3694" s="94"/>
      <c r="I3694" s="94">
        <v>213860.11</v>
      </c>
      <c r="J3694" s="91">
        <v>59064</v>
      </c>
      <c r="K3694" s="25">
        <f t="shared" si="720"/>
        <v>6628075.8899999997</v>
      </c>
      <c r="L3694" s="95">
        <f t="shared" si="721"/>
        <v>55438033</v>
      </c>
      <c r="M3694" s="20">
        <v>6901000</v>
      </c>
      <c r="N3694" s="20">
        <f>+G3694-M3694</f>
        <v>0</v>
      </c>
      <c r="P3694" s="55">
        <v>7788208714</v>
      </c>
      <c r="Q3694" s="127">
        <v>44287</v>
      </c>
      <c r="R3694" s="14">
        <v>345100</v>
      </c>
      <c r="S3694" s="14">
        <v>441700</v>
      </c>
      <c r="U3694" s="3">
        <f>+U3692*12.5%</f>
        <v>3485005</v>
      </c>
      <c r="V3694" s="172" t="s">
        <v>2769</v>
      </c>
    </row>
    <row r="3695" spans="1:24" ht="15" hidden="1" x14ac:dyDescent="0.25">
      <c r="B3695" s="89">
        <v>44364.083333333336</v>
      </c>
      <c r="C3695" s="92" t="s">
        <v>3453</v>
      </c>
      <c r="D3695" s="23"/>
      <c r="E3695" s="91">
        <v>6901000</v>
      </c>
      <c r="F3695" s="93"/>
      <c r="G3695" s="93">
        <f t="shared" si="719"/>
        <v>6901000</v>
      </c>
      <c r="H3695" s="94"/>
      <c r="I3695" s="94">
        <v>213860.11</v>
      </c>
      <c r="J3695" s="91">
        <v>59064</v>
      </c>
      <c r="K3695" s="25">
        <f t="shared" si="720"/>
        <v>6628075.8899999997</v>
      </c>
      <c r="L3695" s="95">
        <f t="shared" si="721"/>
        <v>48537033</v>
      </c>
      <c r="M3695" s="20"/>
      <c r="N3695" s="20"/>
      <c r="P3695" s="84">
        <v>7791130262</v>
      </c>
      <c r="Q3695" s="174">
        <v>44317</v>
      </c>
      <c r="R3695" s="14">
        <v>345100</v>
      </c>
      <c r="S3695" s="14">
        <v>441700</v>
      </c>
      <c r="U3695" s="3">
        <f>+U3692*16%</f>
        <v>4460806.4000000004</v>
      </c>
      <c r="V3695" s="173" t="s">
        <v>2771</v>
      </c>
    </row>
    <row r="3696" spans="1:24" ht="15" hidden="1" x14ac:dyDescent="0.25">
      <c r="B3696" s="89">
        <v>44392.083333333336</v>
      </c>
      <c r="C3696" s="92" t="s">
        <v>3454</v>
      </c>
      <c r="D3696" s="23"/>
      <c r="E3696" s="91">
        <v>6901000</v>
      </c>
      <c r="F3696" s="93"/>
      <c r="G3696" s="93">
        <f t="shared" si="719"/>
        <v>6901000</v>
      </c>
      <c r="H3696" s="94"/>
      <c r="I3696" s="94">
        <v>213860.11</v>
      </c>
      <c r="J3696" s="91">
        <v>59064</v>
      </c>
      <c r="K3696" s="25">
        <f t="shared" si="720"/>
        <v>6628075.8899999997</v>
      </c>
      <c r="L3696" s="95">
        <f t="shared" si="721"/>
        <v>41636033</v>
      </c>
      <c r="M3696" s="20"/>
      <c r="N3696" s="20"/>
      <c r="P3696" s="84">
        <v>7801559249</v>
      </c>
      <c r="Q3696" s="174">
        <v>44348</v>
      </c>
      <c r="R3696" s="14">
        <v>345100</v>
      </c>
      <c r="S3696" s="14">
        <v>441700</v>
      </c>
    </row>
    <row r="3697" spans="1:24" ht="15" hidden="1" x14ac:dyDescent="0.25">
      <c r="B3697" s="89">
        <v>44425.083333333336</v>
      </c>
      <c r="C3697" s="92" t="s">
        <v>3455</v>
      </c>
      <c r="D3697" s="23"/>
      <c r="E3697" s="91">
        <v>6901000</v>
      </c>
      <c r="F3697" s="93"/>
      <c r="G3697" s="93">
        <f t="shared" si="719"/>
        <v>6901000</v>
      </c>
      <c r="H3697" s="94"/>
      <c r="I3697" s="94">
        <v>213860.11</v>
      </c>
      <c r="J3697" s="91">
        <v>59064</v>
      </c>
      <c r="K3697" s="25">
        <f t="shared" si="720"/>
        <v>6628075.8899999997</v>
      </c>
      <c r="L3697" s="95">
        <f t="shared" si="721"/>
        <v>34735033</v>
      </c>
      <c r="M3697" s="20"/>
      <c r="N3697" s="20"/>
      <c r="P3697" s="84">
        <v>7804734122</v>
      </c>
      <c r="Q3697" s="174">
        <v>44378</v>
      </c>
      <c r="R3697" s="14">
        <v>345100</v>
      </c>
      <c r="S3697" s="14">
        <v>441700</v>
      </c>
      <c r="W3697" s="31">
        <v>6901000</v>
      </c>
      <c r="X3697" s="131">
        <f>+E3697-W3697</f>
        <v>0</v>
      </c>
    </row>
    <row r="3698" spans="1:24" ht="15" hidden="1" x14ac:dyDescent="0.25">
      <c r="B3698" s="89">
        <v>44449.083333333336</v>
      </c>
      <c r="C3698" s="92" t="s">
        <v>3456</v>
      </c>
      <c r="D3698" s="23"/>
      <c r="E3698" s="91">
        <v>6901000</v>
      </c>
      <c r="F3698" s="93"/>
      <c r="G3698" s="93">
        <f t="shared" si="719"/>
        <v>6901000</v>
      </c>
      <c r="H3698" s="94"/>
      <c r="I3698" s="94">
        <v>213860.11</v>
      </c>
      <c r="J3698" s="91">
        <v>59064</v>
      </c>
      <c r="K3698" s="25">
        <f t="shared" si="720"/>
        <v>6628075.8899999997</v>
      </c>
      <c r="L3698" s="95">
        <f t="shared" si="721"/>
        <v>27834033</v>
      </c>
      <c r="M3698" s="20"/>
      <c r="N3698" s="20"/>
      <c r="P3698" s="84">
        <v>7808429693</v>
      </c>
      <c r="Q3698" s="174">
        <v>44409</v>
      </c>
      <c r="R3698" s="14">
        <v>345100</v>
      </c>
      <c r="S3698" s="14">
        <v>441700</v>
      </c>
      <c r="W3698" s="31"/>
      <c r="X3698" s="131"/>
    </row>
    <row r="3699" spans="1:24" ht="15" hidden="1" x14ac:dyDescent="0.25">
      <c r="B3699" s="89">
        <v>44482.083333333336</v>
      </c>
      <c r="C3699" s="92" t="s">
        <v>3457</v>
      </c>
      <c r="D3699" s="23"/>
      <c r="E3699" s="91">
        <v>6901000</v>
      </c>
      <c r="F3699" s="93"/>
      <c r="G3699" s="93">
        <f t="shared" si="719"/>
        <v>6901000</v>
      </c>
      <c r="H3699" s="94"/>
      <c r="I3699" s="94">
        <v>213860.11</v>
      </c>
      <c r="J3699" s="91">
        <v>59064</v>
      </c>
      <c r="K3699" s="25">
        <f t="shared" si="720"/>
        <v>6628075.8899999997</v>
      </c>
      <c r="L3699" s="95">
        <f t="shared" si="721"/>
        <v>20933033</v>
      </c>
      <c r="M3699" s="20"/>
      <c r="N3699" s="20"/>
      <c r="P3699" s="84">
        <v>7811977561</v>
      </c>
      <c r="Q3699" s="174">
        <v>44440</v>
      </c>
      <c r="R3699" s="14">
        <v>345100</v>
      </c>
      <c r="S3699" s="14">
        <v>441700</v>
      </c>
      <c r="W3699" s="31"/>
      <c r="X3699" s="131"/>
    </row>
    <row r="3700" spans="1:24" ht="15" hidden="1" x14ac:dyDescent="0.25">
      <c r="B3700" s="89">
        <v>44517.125</v>
      </c>
      <c r="C3700" s="92" t="s">
        <v>3458</v>
      </c>
      <c r="D3700" s="23"/>
      <c r="E3700" s="91">
        <v>6901000</v>
      </c>
      <c r="F3700" s="93"/>
      <c r="G3700" s="93">
        <f t="shared" si="719"/>
        <v>6901000</v>
      </c>
      <c r="H3700" s="94"/>
      <c r="I3700" s="94">
        <v>213860.11</v>
      </c>
      <c r="J3700" s="91">
        <v>59064</v>
      </c>
      <c r="K3700" s="25">
        <f t="shared" si="720"/>
        <v>6628075.8899999997</v>
      </c>
      <c r="L3700" s="95">
        <f t="shared" si="721"/>
        <v>14032033</v>
      </c>
      <c r="M3700" s="20"/>
      <c r="N3700" s="20"/>
      <c r="P3700" s="84">
        <v>7814755675</v>
      </c>
      <c r="Q3700" s="174">
        <v>44470</v>
      </c>
      <c r="R3700" s="14">
        <v>345100</v>
      </c>
      <c r="S3700" s="14">
        <v>441700</v>
      </c>
      <c r="W3700" s="31"/>
      <c r="X3700" s="131"/>
    </row>
    <row r="3701" spans="1:24" ht="15" hidden="1" x14ac:dyDescent="0.25">
      <c r="B3701" s="89">
        <v>44544.125</v>
      </c>
      <c r="C3701" s="92" t="s">
        <v>3459</v>
      </c>
      <c r="D3701" s="23"/>
      <c r="E3701" s="91">
        <v>6901000</v>
      </c>
      <c r="F3701" s="93"/>
      <c r="G3701" s="93">
        <f t="shared" si="719"/>
        <v>6901000</v>
      </c>
      <c r="H3701" s="94"/>
      <c r="I3701" s="94">
        <v>213860.11</v>
      </c>
      <c r="J3701" s="91">
        <v>59064</v>
      </c>
      <c r="K3701" s="25">
        <f t="shared" si="720"/>
        <v>6628075.8899999997</v>
      </c>
      <c r="L3701" s="95">
        <f t="shared" si="721"/>
        <v>7131033</v>
      </c>
      <c r="M3701" s="20"/>
      <c r="N3701" s="20"/>
      <c r="P3701" s="84">
        <v>7818641844</v>
      </c>
      <c r="Q3701" s="174">
        <v>44501</v>
      </c>
      <c r="R3701" s="14">
        <v>345100</v>
      </c>
      <c r="S3701" s="14">
        <v>441700</v>
      </c>
      <c r="W3701" s="31"/>
      <c r="X3701" s="131"/>
    </row>
    <row r="3702" spans="1:24" ht="15" hidden="1" x14ac:dyDescent="0.25">
      <c r="B3702" s="89">
        <v>44551.125</v>
      </c>
      <c r="C3702" s="92" t="s">
        <v>3460</v>
      </c>
      <c r="D3702" s="23"/>
      <c r="E3702" s="91">
        <v>6901000</v>
      </c>
      <c r="F3702" s="93"/>
      <c r="G3702" s="93">
        <f t="shared" si="719"/>
        <v>6901000</v>
      </c>
      <c r="H3702" s="94"/>
      <c r="I3702" s="94">
        <v>213860.11</v>
      </c>
      <c r="J3702" s="91">
        <v>59064</v>
      </c>
      <c r="K3702" s="25">
        <f t="shared" si="720"/>
        <v>6628075.8899999997</v>
      </c>
      <c r="L3702" s="95">
        <f t="shared" si="721"/>
        <v>230033</v>
      </c>
      <c r="M3702" s="20"/>
      <c r="N3702" s="20"/>
      <c r="P3702" s="84">
        <v>7820127058</v>
      </c>
      <c r="Q3702" s="174">
        <v>44531</v>
      </c>
      <c r="R3702" s="14">
        <v>345100</v>
      </c>
      <c r="S3702" s="14">
        <v>441700</v>
      </c>
      <c r="W3702" s="31"/>
      <c r="X3702" s="131"/>
    </row>
    <row r="3703" spans="1:24" ht="15" hidden="1" x14ac:dyDescent="0.25">
      <c r="B3703" s="89"/>
      <c r="C3703" s="92"/>
      <c r="D3703" s="23"/>
      <c r="E3703" s="91"/>
      <c r="F3703" s="93"/>
      <c r="G3703" s="93"/>
      <c r="H3703" s="94"/>
      <c r="I3703" s="94"/>
      <c r="J3703" s="91"/>
      <c r="K3703" s="25"/>
      <c r="L3703" s="95"/>
      <c r="M3703" s="20"/>
      <c r="N3703" s="20"/>
      <c r="P3703" s="84"/>
      <c r="Q3703" s="174"/>
      <c r="R3703" s="177">
        <f>SUM(R3692:R3702)</f>
        <v>3564600</v>
      </c>
      <c r="S3703" s="178">
        <f>SUM(S3692:S3702)</f>
        <v>4562400</v>
      </c>
      <c r="W3703" s="31"/>
      <c r="X3703" s="131"/>
    </row>
    <row r="3704" spans="1:24" ht="15" hidden="1" x14ac:dyDescent="0.25">
      <c r="A3704" s="21">
        <v>2642021</v>
      </c>
      <c r="B3704" s="139" t="s">
        <v>3461</v>
      </c>
      <c r="C3704" s="140"/>
      <c r="D3704" s="141">
        <v>60426667</v>
      </c>
      <c r="E3704" s="141">
        <f>+D3704</f>
        <v>60426667</v>
      </c>
      <c r="F3704" s="141"/>
      <c r="G3704" s="141"/>
      <c r="H3704" s="141"/>
      <c r="I3704" s="141"/>
      <c r="J3704" s="141"/>
      <c r="K3704" s="141"/>
      <c r="L3704" s="141">
        <f>+D3704</f>
        <v>60426667</v>
      </c>
      <c r="M3704" s="142"/>
      <c r="N3704" s="142"/>
      <c r="O3704" s="149">
        <f>+VLOOKUP(A3704,'[1]ANEXO 7 - PPTO VIG 2021'!$H$8:$AB$160,21,)-L3715</f>
        <v>-188834</v>
      </c>
    </row>
    <row r="3705" spans="1:24" ht="15" hidden="1" x14ac:dyDescent="0.25">
      <c r="B3705" s="89">
        <v>44259.125</v>
      </c>
      <c r="C3705" s="92" t="s">
        <v>3462</v>
      </c>
      <c r="D3705" s="23"/>
      <c r="E3705" s="91">
        <v>3587833</v>
      </c>
      <c r="F3705" s="93"/>
      <c r="G3705" s="93">
        <f t="shared" ref="G3705:G3715" si="722">+E3705</f>
        <v>3587833</v>
      </c>
      <c r="H3705" s="94"/>
      <c r="I3705" s="94">
        <v>0</v>
      </c>
      <c r="J3705" s="91">
        <v>32156.53</v>
      </c>
      <c r="K3705" s="25">
        <f t="shared" ref="K3705:K3715" si="723">+G3705-H3705-I3705-J3705</f>
        <v>3555676.47</v>
      </c>
      <c r="L3705" s="95">
        <f t="shared" ref="L3705:L3710" si="724">+L3704-G3705</f>
        <v>56838834</v>
      </c>
      <c r="M3705" s="96"/>
      <c r="N3705" s="96"/>
      <c r="P3705" s="21">
        <v>2327692990</v>
      </c>
      <c r="Q3705" s="127">
        <v>44197</v>
      </c>
      <c r="R3705" s="14">
        <v>113600</v>
      </c>
      <c r="S3705" s="14">
        <v>145400</v>
      </c>
      <c r="T3705" s="3">
        <f>+L3704-188834</f>
        <v>60237833</v>
      </c>
      <c r="U3705" s="3">
        <f>+T3705*40%</f>
        <v>24095133.200000003</v>
      </c>
    </row>
    <row r="3706" spans="1:24" ht="15" hidden="1" x14ac:dyDescent="0.25">
      <c r="B3706" s="89">
        <v>44293.083333333336</v>
      </c>
      <c r="C3706" s="92" t="s">
        <v>3463</v>
      </c>
      <c r="D3706" s="195"/>
      <c r="E3706" s="91">
        <v>5665000</v>
      </c>
      <c r="F3706" s="93"/>
      <c r="G3706" s="93">
        <f t="shared" si="722"/>
        <v>5665000</v>
      </c>
      <c r="H3706" s="94"/>
      <c r="I3706" s="94"/>
      <c r="J3706" s="91">
        <v>48485.38</v>
      </c>
      <c r="K3706" s="25">
        <f t="shared" si="723"/>
        <v>5616514.6200000001</v>
      </c>
      <c r="L3706" s="95">
        <f t="shared" si="724"/>
        <v>51173834</v>
      </c>
      <c r="M3706" s="96"/>
      <c r="N3706" s="96"/>
      <c r="P3706" s="55">
        <v>77827888565</v>
      </c>
      <c r="Q3706" s="127">
        <v>44228</v>
      </c>
      <c r="R3706" s="14">
        <v>283300</v>
      </c>
      <c r="S3706" s="14">
        <v>362600</v>
      </c>
      <c r="U3706" s="3"/>
    </row>
    <row r="3707" spans="1:24" ht="15" hidden="1" x14ac:dyDescent="0.25">
      <c r="B3707" s="89">
        <v>44329.083333333336</v>
      </c>
      <c r="C3707" s="92" t="s">
        <v>3464</v>
      </c>
      <c r="D3707" s="23"/>
      <c r="E3707" s="91">
        <v>5665000</v>
      </c>
      <c r="F3707" s="93"/>
      <c r="G3707" s="93">
        <f t="shared" si="722"/>
        <v>5665000</v>
      </c>
      <c r="H3707" s="94"/>
      <c r="I3707" s="94"/>
      <c r="J3707" s="91">
        <v>48485.38</v>
      </c>
      <c r="K3707" s="25">
        <f t="shared" si="723"/>
        <v>5616514.6200000001</v>
      </c>
      <c r="L3707" s="95">
        <f t="shared" si="724"/>
        <v>45508834</v>
      </c>
      <c r="M3707" s="20">
        <v>5665000</v>
      </c>
      <c r="N3707" s="20">
        <f>+G3707-M3707</f>
        <v>0</v>
      </c>
      <c r="P3707" s="55">
        <v>7787123545</v>
      </c>
      <c r="Q3707" s="127">
        <v>44256</v>
      </c>
      <c r="R3707" s="14">
        <v>283300</v>
      </c>
      <c r="S3707" s="14">
        <v>362600</v>
      </c>
      <c r="U3707" s="3">
        <f>+U3705*12.5%</f>
        <v>3011891.6500000004</v>
      </c>
      <c r="V3707" s="172" t="s">
        <v>2769</v>
      </c>
    </row>
    <row r="3708" spans="1:24" ht="15" hidden="1" x14ac:dyDescent="0.25">
      <c r="B3708" s="89">
        <v>44350.083333333336</v>
      </c>
      <c r="C3708" s="92" t="s">
        <v>3465</v>
      </c>
      <c r="D3708" s="23"/>
      <c r="E3708" s="91">
        <v>5665000</v>
      </c>
      <c r="F3708" s="93"/>
      <c r="G3708" s="93">
        <f t="shared" si="722"/>
        <v>5665000</v>
      </c>
      <c r="H3708" s="94"/>
      <c r="I3708" s="94"/>
      <c r="J3708" s="91">
        <v>48485.38</v>
      </c>
      <c r="K3708" s="25">
        <f t="shared" si="723"/>
        <v>5616514.6200000001</v>
      </c>
      <c r="L3708" s="95">
        <f t="shared" si="724"/>
        <v>39843834</v>
      </c>
      <c r="M3708" s="20"/>
      <c r="N3708" s="20"/>
      <c r="P3708" s="55">
        <v>7790560840</v>
      </c>
      <c r="Q3708" s="127">
        <v>44287</v>
      </c>
      <c r="R3708" s="14">
        <v>283300</v>
      </c>
      <c r="S3708" s="14">
        <v>362600</v>
      </c>
      <c r="U3708" s="3">
        <f>+U3705*16%</f>
        <v>3855221.3120000004</v>
      </c>
      <c r="V3708" s="173" t="s">
        <v>2771</v>
      </c>
    </row>
    <row r="3709" spans="1:24" ht="15" hidden="1" x14ac:dyDescent="0.25">
      <c r="B3709" s="89">
        <v>44379.083333333336</v>
      </c>
      <c r="C3709" s="92" t="s">
        <v>3466</v>
      </c>
      <c r="D3709" s="23"/>
      <c r="E3709" s="91">
        <v>5665000</v>
      </c>
      <c r="F3709" s="93"/>
      <c r="G3709" s="93">
        <f t="shared" si="722"/>
        <v>5665000</v>
      </c>
      <c r="H3709" s="94"/>
      <c r="I3709" s="94"/>
      <c r="J3709" s="91">
        <v>48485.38</v>
      </c>
      <c r="K3709" s="25">
        <f t="shared" si="723"/>
        <v>5616514.6200000001</v>
      </c>
      <c r="L3709" s="95">
        <f t="shared" si="724"/>
        <v>34178834</v>
      </c>
      <c r="M3709" s="20"/>
      <c r="N3709" s="20"/>
      <c r="P3709" s="55">
        <v>7800607584</v>
      </c>
      <c r="Q3709" s="127">
        <v>44317</v>
      </c>
      <c r="R3709" s="14">
        <v>283300</v>
      </c>
      <c r="S3709" s="14">
        <v>362600</v>
      </c>
    </row>
    <row r="3710" spans="1:24" ht="15" hidden="1" x14ac:dyDescent="0.25">
      <c r="B3710" s="89">
        <v>44411.083333333336</v>
      </c>
      <c r="C3710" s="92" t="s">
        <v>3467</v>
      </c>
      <c r="D3710" s="23"/>
      <c r="E3710" s="91">
        <v>5665000</v>
      </c>
      <c r="F3710" s="93"/>
      <c r="G3710" s="93">
        <f t="shared" si="722"/>
        <v>5665000</v>
      </c>
      <c r="H3710" s="94"/>
      <c r="I3710" s="94"/>
      <c r="J3710" s="91">
        <v>48485.38</v>
      </c>
      <c r="K3710" s="25">
        <f t="shared" si="723"/>
        <v>5616514.6200000001</v>
      </c>
      <c r="L3710" s="95">
        <f t="shared" si="724"/>
        <v>28513834</v>
      </c>
      <c r="M3710" s="20"/>
      <c r="N3710" s="20"/>
      <c r="P3710" s="84">
        <v>7802940681</v>
      </c>
      <c r="Q3710" s="127">
        <v>44348</v>
      </c>
      <c r="R3710" s="14">
        <v>283300</v>
      </c>
      <c r="S3710" s="14">
        <v>362600</v>
      </c>
      <c r="W3710" s="31">
        <v>5665000</v>
      </c>
      <c r="X3710" s="131">
        <f>+E3710-W3710</f>
        <v>0</v>
      </c>
    </row>
    <row r="3711" spans="1:24" ht="15" hidden="1" x14ac:dyDescent="0.25">
      <c r="B3711" s="89">
        <v>44442.083333333336</v>
      </c>
      <c r="C3711" s="92" t="s">
        <v>3468</v>
      </c>
      <c r="D3711" s="23"/>
      <c r="E3711" s="91">
        <v>5665000</v>
      </c>
      <c r="F3711" s="93"/>
      <c r="G3711" s="93">
        <f t="shared" si="722"/>
        <v>5665000</v>
      </c>
      <c r="H3711" s="94"/>
      <c r="I3711" s="94"/>
      <c r="J3711" s="91">
        <v>48485.38</v>
      </c>
      <c r="K3711" s="25">
        <f t="shared" si="723"/>
        <v>5616514.6200000001</v>
      </c>
      <c r="L3711" s="95">
        <f>+L3710-G3711</f>
        <v>22848834</v>
      </c>
      <c r="M3711" s="20"/>
      <c r="N3711" s="20"/>
      <c r="P3711" s="84">
        <v>7806312497</v>
      </c>
      <c r="Q3711" s="127">
        <v>44378</v>
      </c>
      <c r="R3711" s="14">
        <v>283300</v>
      </c>
      <c r="S3711" s="14">
        <v>362600</v>
      </c>
      <c r="W3711" s="31"/>
      <c r="X3711" s="131"/>
    </row>
    <row r="3712" spans="1:24" ht="15" hidden="1" x14ac:dyDescent="0.25">
      <c r="B3712" s="89">
        <v>44474.083333333336</v>
      </c>
      <c r="C3712" s="92" t="s">
        <v>3469</v>
      </c>
      <c r="D3712" s="23"/>
      <c r="E3712" s="91">
        <v>5665000</v>
      </c>
      <c r="F3712" s="93"/>
      <c r="G3712" s="93">
        <f t="shared" si="722"/>
        <v>5665000</v>
      </c>
      <c r="H3712" s="94"/>
      <c r="I3712" s="94"/>
      <c r="J3712" s="91">
        <v>48485.38</v>
      </c>
      <c r="K3712" s="25">
        <f t="shared" si="723"/>
        <v>5616514.6200000001</v>
      </c>
      <c r="L3712" s="95">
        <f>+L3711-G3712</f>
        <v>17183834</v>
      </c>
      <c r="M3712" s="20"/>
      <c r="N3712" s="20"/>
      <c r="P3712" s="84">
        <v>7809883592</v>
      </c>
      <c r="Q3712" s="127">
        <v>44409</v>
      </c>
      <c r="R3712" s="14">
        <v>283300</v>
      </c>
      <c r="S3712" s="14">
        <v>362600</v>
      </c>
      <c r="W3712" s="31"/>
      <c r="X3712" s="131"/>
    </row>
    <row r="3713" spans="1:24" ht="15" hidden="1" x14ac:dyDescent="0.25">
      <c r="B3713" s="89">
        <v>44505.083333333336</v>
      </c>
      <c r="C3713" s="92" t="s">
        <v>3470</v>
      </c>
      <c r="D3713" s="23"/>
      <c r="E3713" s="91">
        <v>5665000</v>
      </c>
      <c r="F3713" s="93"/>
      <c r="G3713" s="93">
        <f t="shared" si="722"/>
        <v>5665000</v>
      </c>
      <c r="H3713" s="94"/>
      <c r="I3713" s="94"/>
      <c r="J3713" s="91">
        <v>48485.38</v>
      </c>
      <c r="K3713" s="25">
        <f t="shared" si="723"/>
        <v>5616514.6200000001</v>
      </c>
      <c r="L3713" s="95">
        <f>+L3712-G3713</f>
        <v>11518834</v>
      </c>
      <c r="M3713" s="20"/>
      <c r="N3713" s="20"/>
      <c r="P3713" s="84">
        <v>7813504628</v>
      </c>
      <c r="Q3713" s="127">
        <v>44440</v>
      </c>
      <c r="R3713" s="14">
        <v>283300</v>
      </c>
      <c r="S3713" s="14">
        <v>362600</v>
      </c>
      <c r="W3713" s="31"/>
      <c r="X3713" s="131"/>
    </row>
    <row r="3714" spans="1:24" ht="15" hidden="1" x14ac:dyDescent="0.25">
      <c r="B3714" s="89">
        <v>44536.125</v>
      </c>
      <c r="C3714" s="92" t="s">
        <v>3471</v>
      </c>
      <c r="D3714" s="23"/>
      <c r="E3714" s="91">
        <v>5665000</v>
      </c>
      <c r="F3714" s="93"/>
      <c r="G3714" s="93">
        <f t="shared" si="722"/>
        <v>5665000</v>
      </c>
      <c r="H3714" s="94"/>
      <c r="I3714" s="94"/>
      <c r="J3714" s="91">
        <v>48485.38</v>
      </c>
      <c r="K3714" s="25">
        <f t="shared" si="723"/>
        <v>5616514.6200000001</v>
      </c>
      <c r="L3714" s="95">
        <f>+L3713-G3714</f>
        <v>5853834</v>
      </c>
      <c r="M3714" s="20"/>
      <c r="N3714" s="20"/>
      <c r="P3714" s="84">
        <v>7817774824</v>
      </c>
      <c r="Q3714" s="127">
        <v>44470</v>
      </c>
      <c r="R3714" s="14">
        <v>283300</v>
      </c>
      <c r="S3714" s="14">
        <v>362600</v>
      </c>
      <c r="W3714" s="31"/>
      <c r="X3714" s="131"/>
    </row>
    <row r="3715" spans="1:24" ht="15" hidden="1" x14ac:dyDescent="0.25">
      <c r="B3715" s="89">
        <v>44559.125</v>
      </c>
      <c r="C3715" s="92" t="s">
        <v>3472</v>
      </c>
      <c r="D3715" s="23"/>
      <c r="E3715" s="91">
        <v>5665000</v>
      </c>
      <c r="F3715" s="93"/>
      <c r="G3715" s="93">
        <f t="shared" si="722"/>
        <v>5665000</v>
      </c>
      <c r="H3715" s="94"/>
      <c r="I3715" s="94"/>
      <c r="J3715" s="91">
        <v>48485.38</v>
      </c>
      <c r="K3715" s="25">
        <f t="shared" si="723"/>
        <v>5616514.6200000001</v>
      </c>
      <c r="L3715" s="95">
        <f>+L3714-G3715</f>
        <v>188834</v>
      </c>
      <c r="M3715" s="20"/>
      <c r="N3715" s="20"/>
      <c r="P3715" s="84">
        <v>7820248361</v>
      </c>
      <c r="Q3715" s="127">
        <v>44501</v>
      </c>
      <c r="R3715" s="14">
        <v>283300</v>
      </c>
      <c r="S3715" s="14">
        <v>362600</v>
      </c>
      <c r="W3715" s="31"/>
      <c r="X3715" s="131"/>
    </row>
    <row r="3716" spans="1:24" ht="15" hidden="1" x14ac:dyDescent="0.25">
      <c r="B3716" s="89"/>
      <c r="C3716" s="92"/>
      <c r="D3716" s="23"/>
      <c r="E3716" s="91"/>
      <c r="F3716" s="93"/>
      <c r="G3716" s="93"/>
      <c r="H3716" s="94"/>
      <c r="I3716" s="94"/>
      <c r="J3716" s="91"/>
      <c r="K3716" s="25"/>
      <c r="L3716" s="95"/>
      <c r="M3716" s="20"/>
      <c r="N3716" s="20"/>
      <c r="P3716" s="84">
        <v>7820250518</v>
      </c>
      <c r="Q3716" s="127">
        <v>44531</v>
      </c>
      <c r="R3716" s="14">
        <v>283300</v>
      </c>
      <c r="S3716" s="14">
        <v>362600</v>
      </c>
      <c r="W3716" s="31"/>
      <c r="X3716" s="131"/>
    </row>
    <row r="3717" spans="1:24" ht="15" hidden="1" x14ac:dyDescent="0.25">
      <c r="B3717" s="89"/>
      <c r="C3717" s="92"/>
      <c r="D3717" s="23"/>
      <c r="E3717" s="91"/>
      <c r="F3717" s="93"/>
      <c r="G3717" s="93"/>
      <c r="H3717" s="94"/>
      <c r="I3717" s="94"/>
      <c r="J3717" s="91"/>
      <c r="K3717" s="25"/>
      <c r="L3717" s="95"/>
      <c r="M3717" s="20"/>
      <c r="N3717" s="20"/>
      <c r="P3717" s="84"/>
      <c r="Q3717" s="174"/>
      <c r="R3717" s="177">
        <f>SUM(R3705:R3716)</f>
        <v>3229900</v>
      </c>
      <c r="S3717" s="178">
        <f>SUM(S3705:S3716)</f>
        <v>4134000</v>
      </c>
      <c r="W3717" s="31"/>
      <c r="X3717" s="131"/>
    </row>
    <row r="3718" spans="1:24" ht="15" hidden="1" x14ac:dyDescent="0.25">
      <c r="A3718" s="21">
        <v>1612021</v>
      </c>
      <c r="B3718" s="139" t="s">
        <v>3473</v>
      </c>
      <c r="C3718" s="140"/>
      <c r="D3718" s="141">
        <v>71500000</v>
      </c>
      <c r="E3718" s="141">
        <f>+D3718</f>
        <v>71500000</v>
      </c>
      <c r="F3718" s="141"/>
      <c r="G3718" s="141"/>
      <c r="H3718" s="141"/>
      <c r="I3718" s="141"/>
      <c r="J3718" s="141"/>
      <c r="K3718" s="141"/>
      <c r="L3718" s="141">
        <f>+D3718</f>
        <v>71500000</v>
      </c>
      <c r="M3718" s="142"/>
      <c r="N3718" s="142"/>
      <c r="O3718" s="149">
        <f>+VLOOKUP(A3718,'[1]ANEXO 7 - PPTO VIG 2021'!$H$8:$AB$160,21,)-L3729</f>
        <v>0</v>
      </c>
    </row>
    <row r="3719" spans="1:24" ht="15" hidden="1" x14ac:dyDescent="0.25">
      <c r="B3719" s="89">
        <v>44258.125</v>
      </c>
      <c r="C3719" s="92" t="s">
        <v>3474</v>
      </c>
      <c r="D3719" s="23"/>
      <c r="E3719" s="91">
        <v>6500000</v>
      </c>
      <c r="F3719" s="93"/>
      <c r="G3719" s="93">
        <f t="shared" ref="G3719:G3729" si="725">+E3719</f>
        <v>6500000</v>
      </c>
      <c r="H3719" s="94"/>
      <c r="I3719" s="94">
        <v>163360.10999999999</v>
      </c>
      <c r="J3719" s="91">
        <v>55631.94</v>
      </c>
      <c r="K3719" s="25">
        <f t="shared" ref="K3719:K3729" si="726">+G3719-H3719-I3719-J3719</f>
        <v>6281007.9499999993</v>
      </c>
      <c r="L3719" s="95">
        <f t="shared" ref="L3719:L3724" si="727">+L3718-G3719</f>
        <v>65000000</v>
      </c>
      <c r="M3719" s="96"/>
      <c r="N3719" s="96"/>
      <c r="P3719" s="21">
        <v>48514661</v>
      </c>
      <c r="Q3719" s="127">
        <v>44228</v>
      </c>
      <c r="R3719" s="14">
        <v>325000</v>
      </c>
      <c r="S3719" s="14">
        <v>416000</v>
      </c>
      <c r="T3719" s="3">
        <f>+L3718</f>
        <v>71500000</v>
      </c>
      <c r="U3719" s="3">
        <f>+T3719*40%</f>
        <v>28600000</v>
      </c>
    </row>
    <row r="3720" spans="1:24" ht="15" hidden="1" x14ac:dyDescent="0.25">
      <c r="B3720" s="89">
        <v>44292.083333333336</v>
      </c>
      <c r="C3720" s="92" t="s">
        <v>3475</v>
      </c>
      <c r="D3720" s="23"/>
      <c r="E3720" s="91">
        <v>6500000</v>
      </c>
      <c r="F3720" s="93"/>
      <c r="G3720" s="93">
        <f t="shared" si="725"/>
        <v>6500000</v>
      </c>
      <c r="H3720" s="94"/>
      <c r="I3720" s="91">
        <v>270890.61</v>
      </c>
      <c r="J3720" s="91">
        <v>62790</v>
      </c>
      <c r="K3720" s="25">
        <f t="shared" si="726"/>
        <v>6166319.3899999997</v>
      </c>
      <c r="L3720" s="95">
        <f t="shared" si="727"/>
        <v>58500000</v>
      </c>
      <c r="M3720" s="96"/>
      <c r="N3720" s="96"/>
      <c r="Q3720" s="144">
        <v>44228</v>
      </c>
      <c r="U3720" s="3"/>
    </row>
    <row r="3721" spans="1:24" ht="15" hidden="1" x14ac:dyDescent="0.25">
      <c r="B3721" s="89">
        <v>44320.083333333336</v>
      </c>
      <c r="C3721" s="92" t="s">
        <v>3476</v>
      </c>
      <c r="D3721" s="23"/>
      <c r="E3721" s="91">
        <v>6500000</v>
      </c>
      <c r="F3721" s="93"/>
      <c r="G3721" s="93">
        <f t="shared" si="725"/>
        <v>6500000</v>
      </c>
      <c r="H3721" s="94"/>
      <c r="I3721" s="94">
        <v>163360.10999999999</v>
      </c>
      <c r="J3721" s="91">
        <v>55631.94</v>
      </c>
      <c r="K3721" s="25">
        <f t="shared" si="726"/>
        <v>6281007.9499999993</v>
      </c>
      <c r="L3721" s="95">
        <f t="shared" si="727"/>
        <v>52000000</v>
      </c>
      <c r="M3721" s="20">
        <v>6500000</v>
      </c>
      <c r="N3721" s="20">
        <f>+G3721-M3721</f>
        <v>0</v>
      </c>
      <c r="P3721" s="21">
        <v>49433197</v>
      </c>
      <c r="Q3721" s="127">
        <v>44256</v>
      </c>
      <c r="R3721" s="14">
        <v>325000</v>
      </c>
      <c r="S3721" s="14">
        <v>416000</v>
      </c>
      <c r="U3721" s="3">
        <f>+U3719*12.5%</f>
        <v>3575000</v>
      </c>
      <c r="V3721" s="172" t="s">
        <v>2769</v>
      </c>
    </row>
    <row r="3722" spans="1:24" ht="15" hidden="1" x14ac:dyDescent="0.25">
      <c r="B3722" s="89">
        <v>44349.083333333336</v>
      </c>
      <c r="C3722" s="92" t="s">
        <v>3477</v>
      </c>
      <c r="D3722" s="23"/>
      <c r="E3722" s="91">
        <v>6500000</v>
      </c>
      <c r="F3722" s="93"/>
      <c r="G3722" s="93">
        <f t="shared" si="725"/>
        <v>6500000</v>
      </c>
      <c r="H3722" s="94"/>
      <c r="I3722" s="94">
        <v>163360.10999999999</v>
      </c>
      <c r="J3722" s="91">
        <v>55631.94</v>
      </c>
      <c r="K3722" s="25">
        <f t="shared" si="726"/>
        <v>6281007.9499999993</v>
      </c>
      <c r="L3722" s="95">
        <f t="shared" si="727"/>
        <v>45500000</v>
      </c>
      <c r="M3722" s="20"/>
      <c r="N3722" s="20"/>
      <c r="P3722" s="55">
        <v>50433469</v>
      </c>
      <c r="Q3722" s="127">
        <v>44287</v>
      </c>
      <c r="R3722" s="14">
        <v>325000</v>
      </c>
      <c r="S3722" s="14">
        <v>416000</v>
      </c>
      <c r="U3722" s="3">
        <f>+U3719*16%</f>
        <v>4576000</v>
      </c>
      <c r="V3722" s="173" t="s">
        <v>2771</v>
      </c>
    </row>
    <row r="3723" spans="1:24" ht="15" hidden="1" x14ac:dyDescent="0.25">
      <c r="B3723" s="89">
        <v>44379.083333333336</v>
      </c>
      <c r="C3723" s="92" t="s">
        <v>3478</v>
      </c>
      <c r="D3723" s="23"/>
      <c r="E3723" s="91">
        <v>6500000</v>
      </c>
      <c r="F3723" s="93"/>
      <c r="G3723" s="93">
        <f t="shared" si="725"/>
        <v>6500000</v>
      </c>
      <c r="H3723" s="94"/>
      <c r="I3723" s="94">
        <v>163360.10999999999</v>
      </c>
      <c r="J3723" s="91">
        <v>55631.94</v>
      </c>
      <c r="K3723" s="25">
        <f t="shared" si="726"/>
        <v>6281007.9499999993</v>
      </c>
      <c r="L3723" s="95">
        <f t="shared" si="727"/>
        <v>39000000</v>
      </c>
      <c r="M3723" s="20"/>
      <c r="N3723" s="20"/>
      <c r="P3723" s="84">
        <v>51287554</v>
      </c>
      <c r="Q3723" s="174">
        <v>44317</v>
      </c>
      <c r="R3723" s="125">
        <v>325000</v>
      </c>
      <c r="S3723" s="125">
        <v>416000</v>
      </c>
    </row>
    <row r="3724" spans="1:24" ht="15" hidden="1" x14ac:dyDescent="0.25">
      <c r="B3724" s="89">
        <v>44411.083333333336</v>
      </c>
      <c r="C3724" s="92" t="s">
        <v>3479</v>
      </c>
      <c r="D3724" s="23"/>
      <c r="E3724" s="91">
        <v>6500000</v>
      </c>
      <c r="F3724" s="93"/>
      <c r="G3724" s="93">
        <f t="shared" si="725"/>
        <v>6500000</v>
      </c>
      <c r="H3724" s="94"/>
      <c r="I3724" s="94">
        <v>163360.10999999999</v>
      </c>
      <c r="J3724" s="91">
        <v>55631.94</v>
      </c>
      <c r="K3724" s="25">
        <f t="shared" si="726"/>
        <v>6281007.9499999993</v>
      </c>
      <c r="L3724" s="95">
        <f t="shared" si="727"/>
        <v>32500000</v>
      </c>
      <c r="M3724" s="20"/>
      <c r="N3724" s="20"/>
      <c r="P3724" s="84">
        <v>52110180</v>
      </c>
      <c r="Q3724" s="174">
        <v>44348</v>
      </c>
      <c r="R3724" s="125">
        <v>325000</v>
      </c>
      <c r="S3724" s="125">
        <v>416000</v>
      </c>
      <c r="W3724" s="31">
        <v>6500000</v>
      </c>
      <c r="X3724" s="131">
        <f>+E3724-W3724</f>
        <v>0</v>
      </c>
    </row>
    <row r="3725" spans="1:24" ht="15" hidden="1" x14ac:dyDescent="0.25">
      <c r="B3725" s="89">
        <v>44441.083333333336</v>
      </c>
      <c r="C3725" s="92" t="s">
        <v>3480</v>
      </c>
      <c r="D3725" s="23"/>
      <c r="E3725" s="91">
        <v>6500000</v>
      </c>
      <c r="F3725" s="93"/>
      <c r="G3725" s="93">
        <f t="shared" si="725"/>
        <v>6500000</v>
      </c>
      <c r="H3725" s="94"/>
      <c r="I3725" s="94">
        <v>163360.10999999999</v>
      </c>
      <c r="J3725" s="91">
        <v>55631.94</v>
      </c>
      <c r="K3725" s="25">
        <f t="shared" si="726"/>
        <v>6281007.9499999993</v>
      </c>
      <c r="L3725" s="95">
        <f>+L3724-G3725</f>
        <v>26000000</v>
      </c>
      <c r="M3725" s="20"/>
      <c r="N3725" s="20"/>
      <c r="P3725" s="84">
        <v>52660675</v>
      </c>
      <c r="Q3725" s="174">
        <v>44378</v>
      </c>
      <c r="R3725" s="125">
        <v>325000</v>
      </c>
      <c r="S3725" s="125">
        <v>416000</v>
      </c>
      <c r="W3725" s="31"/>
      <c r="X3725" s="131"/>
    </row>
    <row r="3726" spans="1:24" ht="15" hidden="1" x14ac:dyDescent="0.25">
      <c r="B3726" s="89">
        <v>44473.083333333336</v>
      </c>
      <c r="C3726" s="92" t="s">
        <v>3481</v>
      </c>
      <c r="D3726" s="23"/>
      <c r="E3726" s="91">
        <v>6500000</v>
      </c>
      <c r="F3726" s="93"/>
      <c r="G3726" s="93">
        <f t="shared" si="725"/>
        <v>6500000</v>
      </c>
      <c r="H3726" s="94"/>
      <c r="I3726" s="94">
        <v>163360.10999999999</v>
      </c>
      <c r="J3726" s="91">
        <v>55631.94</v>
      </c>
      <c r="K3726" s="25">
        <f t="shared" si="726"/>
        <v>6281007.9499999993</v>
      </c>
      <c r="L3726" s="95">
        <f>+L3725-G3726</f>
        <v>19500000</v>
      </c>
      <c r="M3726" s="20"/>
      <c r="N3726" s="20"/>
      <c r="P3726" s="84">
        <v>53481428</v>
      </c>
      <c r="Q3726" s="174">
        <v>44409</v>
      </c>
      <c r="R3726" s="125">
        <v>325000</v>
      </c>
      <c r="S3726" s="125">
        <v>416000</v>
      </c>
      <c r="W3726" s="31"/>
      <c r="X3726" s="131"/>
    </row>
    <row r="3727" spans="1:24" ht="15" hidden="1" x14ac:dyDescent="0.25">
      <c r="B3727" s="89">
        <v>44504.083333333336</v>
      </c>
      <c r="C3727" s="92" t="s">
        <v>3482</v>
      </c>
      <c r="D3727" s="23"/>
      <c r="E3727" s="91">
        <v>6500000</v>
      </c>
      <c r="F3727" s="93"/>
      <c r="G3727" s="93">
        <f t="shared" si="725"/>
        <v>6500000</v>
      </c>
      <c r="H3727" s="94"/>
      <c r="I3727" s="94">
        <v>163360.10999999999</v>
      </c>
      <c r="J3727" s="91">
        <v>55631.94</v>
      </c>
      <c r="K3727" s="25">
        <f t="shared" si="726"/>
        <v>6281007.9499999993</v>
      </c>
      <c r="L3727" s="95">
        <f>+L3726-G3727</f>
        <v>13000000</v>
      </c>
      <c r="M3727" s="20"/>
      <c r="N3727" s="20"/>
      <c r="P3727" s="84">
        <v>53975595</v>
      </c>
      <c r="Q3727" s="174">
        <v>44440</v>
      </c>
      <c r="R3727" s="125">
        <v>325000</v>
      </c>
      <c r="S3727" s="125">
        <v>416000</v>
      </c>
      <c r="W3727" s="31"/>
      <c r="X3727" s="131"/>
    </row>
    <row r="3728" spans="1:24" ht="15" hidden="1" x14ac:dyDescent="0.25">
      <c r="B3728" s="89">
        <v>44533.125</v>
      </c>
      <c r="C3728" s="92" t="s">
        <v>3483</v>
      </c>
      <c r="D3728" s="23"/>
      <c r="E3728" s="91">
        <v>6500000</v>
      </c>
      <c r="F3728" s="93"/>
      <c r="G3728" s="93">
        <f t="shared" si="725"/>
        <v>6500000</v>
      </c>
      <c r="H3728" s="94"/>
      <c r="I3728" s="94">
        <v>163360.10999999999</v>
      </c>
      <c r="J3728" s="91">
        <v>55631.94</v>
      </c>
      <c r="K3728" s="25">
        <f t="shared" si="726"/>
        <v>6281007.9499999993</v>
      </c>
      <c r="L3728" s="95">
        <f>+L3727-G3728</f>
        <v>6500000</v>
      </c>
      <c r="M3728" s="20"/>
      <c r="N3728" s="20"/>
      <c r="P3728" s="84">
        <v>54849588</v>
      </c>
      <c r="Q3728" s="174">
        <v>44470</v>
      </c>
      <c r="R3728" s="125">
        <v>325000</v>
      </c>
      <c r="S3728" s="125">
        <v>416000</v>
      </c>
      <c r="W3728" s="31"/>
      <c r="X3728" s="131"/>
    </row>
    <row r="3729" spans="1:24" ht="15" hidden="1" x14ac:dyDescent="0.25">
      <c r="B3729" s="89">
        <v>44550.125</v>
      </c>
      <c r="C3729" s="92" t="s">
        <v>3484</v>
      </c>
      <c r="D3729" s="23"/>
      <c r="E3729" s="91">
        <v>6500000</v>
      </c>
      <c r="F3729" s="93"/>
      <c r="G3729" s="93">
        <f t="shared" si="725"/>
        <v>6500000</v>
      </c>
      <c r="H3729" s="94"/>
      <c r="I3729" s="94">
        <v>163360.10999999999</v>
      </c>
      <c r="J3729" s="91">
        <v>55631.94</v>
      </c>
      <c r="K3729" s="25">
        <f t="shared" si="726"/>
        <v>6281007.9499999993</v>
      </c>
      <c r="L3729" s="95">
        <f>+L3728-G3729</f>
        <v>0</v>
      </c>
      <c r="M3729" s="20"/>
      <c r="N3729" s="20"/>
      <c r="P3729" s="84">
        <v>55293687</v>
      </c>
      <c r="Q3729" s="174">
        <v>44501</v>
      </c>
      <c r="R3729" s="125">
        <v>325000</v>
      </c>
      <c r="S3729" s="125">
        <v>416000</v>
      </c>
      <c r="W3729" s="31"/>
      <c r="X3729" s="131"/>
    </row>
    <row r="3730" spans="1:24" ht="15" hidden="1" x14ac:dyDescent="0.25">
      <c r="B3730" s="89"/>
      <c r="C3730" s="92"/>
      <c r="D3730" s="23"/>
      <c r="E3730" s="91"/>
      <c r="F3730" s="93"/>
      <c r="G3730" s="93"/>
      <c r="H3730" s="94"/>
      <c r="I3730" s="94"/>
      <c r="J3730" s="91"/>
      <c r="K3730" s="25"/>
      <c r="L3730" s="95"/>
      <c r="M3730" s="20"/>
      <c r="N3730" s="20"/>
      <c r="P3730" s="84">
        <v>55333868</v>
      </c>
      <c r="Q3730" s="174">
        <v>44531</v>
      </c>
      <c r="R3730" s="125">
        <v>325000</v>
      </c>
      <c r="S3730" s="125">
        <v>416000</v>
      </c>
      <c r="W3730" s="31"/>
      <c r="X3730" s="131"/>
    </row>
    <row r="3731" spans="1:24" ht="15" hidden="1" x14ac:dyDescent="0.25">
      <c r="B3731" s="89"/>
      <c r="C3731" s="92"/>
      <c r="D3731" s="23"/>
      <c r="E3731" s="91"/>
      <c r="F3731" s="93"/>
      <c r="G3731" s="93"/>
      <c r="H3731" s="94"/>
      <c r="I3731" s="94"/>
      <c r="J3731" s="91"/>
      <c r="K3731" s="25"/>
      <c r="L3731" s="95"/>
      <c r="M3731" s="20"/>
      <c r="N3731" s="20"/>
      <c r="P3731" s="84"/>
      <c r="Q3731" s="174"/>
      <c r="R3731" s="177">
        <f>SUM(R3719:R3730)</f>
        <v>3575000</v>
      </c>
      <c r="S3731" s="178">
        <f>SUM(S3719:S3730)</f>
        <v>4576000</v>
      </c>
      <c r="W3731" s="31"/>
      <c r="X3731" s="131"/>
    </row>
    <row r="3732" spans="1:24" ht="15" hidden="1" x14ac:dyDescent="0.25">
      <c r="A3732" s="21">
        <v>2712021</v>
      </c>
      <c r="B3732" s="139" t="s">
        <v>3485</v>
      </c>
      <c r="C3732" s="140"/>
      <c r="D3732" s="141">
        <v>39991467</v>
      </c>
      <c r="E3732" s="141">
        <f>+D3732</f>
        <v>39991467</v>
      </c>
      <c r="F3732" s="141"/>
      <c r="G3732" s="141"/>
      <c r="H3732" s="141"/>
      <c r="I3732" s="141"/>
      <c r="J3732" s="141"/>
      <c r="K3732" s="141"/>
      <c r="L3732" s="141">
        <f>+D3732</f>
        <v>39991467</v>
      </c>
      <c r="M3732" s="142"/>
      <c r="N3732" s="142"/>
      <c r="O3732" s="149">
        <f>+VLOOKUP(A3732,'[1]ANEXO 7 - PPTO VIG 2021'!$H$8:$AB$160,21,)-L3742</f>
        <v>-3999147</v>
      </c>
    </row>
    <row r="3733" spans="1:24" ht="15" hidden="1" x14ac:dyDescent="0.25">
      <c r="B3733" s="89">
        <v>44272.083333333336</v>
      </c>
      <c r="C3733" s="92" t="s">
        <v>3486</v>
      </c>
      <c r="D3733" s="23" t="s">
        <v>3487</v>
      </c>
      <c r="E3733" s="91">
        <v>2249520</v>
      </c>
      <c r="F3733" s="93"/>
      <c r="G3733" s="93">
        <f t="shared" ref="G3733:G3742" si="728">+E3733</f>
        <v>2249520</v>
      </c>
      <c r="H3733" s="94"/>
      <c r="I3733" s="94">
        <v>0</v>
      </c>
      <c r="J3733" s="91">
        <v>19253.099999999999</v>
      </c>
      <c r="K3733" s="25">
        <f t="shared" ref="K3733:K3742" si="729">+G3733-H3733-I3733-J3733</f>
        <v>2230266.9</v>
      </c>
      <c r="L3733" s="95">
        <f t="shared" ref="L3733:L3742" si="730">+L3732-G3733</f>
        <v>37741947</v>
      </c>
      <c r="M3733" s="96"/>
      <c r="N3733" s="96"/>
      <c r="P3733" s="21">
        <v>9416168810</v>
      </c>
      <c r="Q3733" s="127">
        <v>44197</v>
      </c>
      <c r="R3733" s="14">
        <v>113600</v>
      </c>
      <c r="S3733" s="14">
        <v>145400</v>
      </c>
    </row>
    <row r="3734" spans="1:24" ht="15" hidden="1" x14ac:dyDescent="0.25">
      <c r="B3734" s="89">
        <v>44300.083333333336</v>
      </c>
      <c r="C3734" s="92" t="s">
        <v>3488</v>
      </c>
      <c r="D3734" s="23"/>
      <c r="E3734" s="91">
        <v>3749200</v>
      </c>
      <c r="F3734" s="93"/>
      <c r="G3734" s="93">
        <f t="shared" si="728"/>
        <v>3749200</v>
      </c>
      <c r="H3734" s="94"/>
      <c r="I3734" s="94"/>
      <c r="J3734" s="91">
        <v>32088.5</v>
      </c>
      <c r="K3734" s="25">
        <f t="shared" si="729"/>
        <v>3717111.5</v>
      </c>
      <c r="L3734" s="95">
        <f t="shared" si="730"/>
        <v>33992747</v>
      </c>
      <c r="M3734" s="96"/>
      <c r="N3734" s="96"/>
      <c r="P3734" s="55">
        <v>9416358675</v>
      </c>
      <c r="Q3734" s="127">
        <v>44228</v>
      </c>
      <c r="R3734" s="14">
        <v>187500</v>
      </c>
      <c r="S3734" s="14">
        <v>240000</v>
      </c>
    </row>
    <row r="3735" spans="1:24" ht="15" hidden="1" x14ac:dyDescent="0.25">
      <c r="B3735" s="89">
        <v>44326.083333333336</v>
      </c>
      <c r="C3735" s="92" t="s">
        <v>3489</v>
      </c>
      <c r="D3735" s="23"/>
      <c r="E3735" s="91">
        <v>3749200</v>
      </c>
      <c r="F3735" s="93"/>
      <c r="G3735" s="93">
        <f t="shared" si="728"/>
        <v>3749200</v>
      </c>
      <c r="H3735" s="94"/>
      <c r="I3735" s="94"/>
      <c r="J3735" s="91">
        <v>32088.5</v>
      </c>
      <c r="K3735" s="25">
        <f t="shared" si="729"/>
        <v>3717111.5</v>
      </c>
      <c r="L3735" s="95">
        <f t="shared" si="730"/>
        <v>30243547</v>
      </c>
      <c r="M3735" s="20">
        <v>3749200</v>
      </c>
      <c r="N3735" s="20">
        <f>+G3735-M3735</f>
        <v>0</v>
      </c>
      <c r="P3735" s="55">
        <v>9419200443</v>
      </c>
      <c r="Q3735" s="127">
        <v>44256</v>
      </c>
      <c r="R3735" s="14">
        <v>187500</v>
      </c>
      <c r="S3735" s="14">
        <v>240000</v>
      </c>
    </row>
    <row r="3736" spans="1:24" ht="15" hidden="1" x14ac:dyDescent="0.25">
      <c r="B3736" s="89">
        <v>44358.083333333336</v>
      </c>
      <c r="C3736" s="92" t="s">
        <v>3490</v>
      </c>
      <c r="D3736" s="23"/>
      <c r="E3736" s="91">
        <v>3749200</v>
      </c>
      <c r="F3736" s="93"/>
      <c r="G3736" s="93">
        <f t="shared" si="728"/>
        <v>3749200</v>
      </c>
      <c r="H3736" s="94"/>
      <c r="I3736" s="94"/>
      <c r="J3736" s="91">
        <v>32088.5</v>
      </c>
      <c r="K3736" s="25">
        <f t="shared" si="729"/>
        <v>3717111.5</v>
      </c>
      <c r="L3736" s="95">
        <f t="shared" si="730"/>
        <v>26494347</v>
      </c>
      <c r="M3736" s="20"/>
      <c r="N3736" s="20"/>
      <c r="P3736" s="55">
        <v>9419843224</v>
      </c>
      <c r="Q3736" s="127">
        <v>44287</v>
      </c>
      <c r="R3736" s="14">
        <v>187500</v>
      </c>
      <c r="S3736" s="14">
        <v>240000</v>
      </c>
    </row>
    <row r="3737" spans="1:24" ht="15" hidden="1" x14ac:dyDescent="0.25">
      <c r="B3737" s="89">
        <v>44385.083333333336</v>
      </c>
      <c r="C3737" s="92" t="s">
        <v>3491</v>
      </c>
      <c r="D3737" s="23"/>
      <c r="E3737" s="91">
        <v>3749200</v>
      </c>
      <c r="F3737" s="93"/>
      <c r="G3737" s="93">
        <f t="shared" si="728"/>
        <v>3749200</v>
      </c>
      <c r="H3737" s="94"/>
      <c r="I3737" s="94"/>
      <c r="J3737" s="91">
        <v>32088.5</v>
      </c>
      <c r="K3737" s="25">
        <f t="shared" si="729"/>
        <v>3717111.5</v>
      </c>
      <c r="L3737" s="95">
        <f t="shared" si="730"/>
        <v>22745147</v>
      </c>
      <c r="M3737" s="20"/>
      <c r="N3737" s="20"/>
      <c r="P3737" s="55">
        <v>9420957522</v>
      </c>
      <c r="Q3737" s="127">
        <v>44317</v>
      </c>
      <c r="R3737" s="14">
        <v>187500</v>
      </c>
      <c r="S3737" s="14">
        <v>240000</v>
      </c>
    </row>
    <row r="3738" spans="1:24" ht="15" hidden="1" x14ac:dyDescent="0.25">
      <c r="B3738" s="89">
        <v>44425.083333333336</v>
      </c>
      <c r="C3738" s="92" t="s">
        <v>3492</v>
      </c>
      <c r="D3738" s="23"/>
      <c r="E3738" s="91">
        <v>3749200</v>
      </c>
      <c r="F3738" s="93"/>
      <c r="G3738" s="93">
        <f t="shared" si="728"/>
        <v>3749200</v>
      </c>
      <c r="H3738" s="94"/>
      <c r="I3738" s="94"/>
      <c r="J3738" s="91">
        <v>32088.5</v>
      </c>
      <c r="K3738" s="25">
        <f t="shared" si="729"/>
        <v>3717111.5</v>
      </c>
      <c r="L3738" s="95">
        <f t="shared" si="730"/>
        <v>18995947</v>
      </c>
      <c r="M3738" s="20"/>
      <c r="N3738" s="20"/>
      <c r="P3738" s="55">
        <v>9422057921</v>
      </c>
      <c r="Q3738" s="127">
        <v>44348</v>
      </c>
      <c r="R3738" s="14">
        <v>187500</v>
      </c>
      <c r="S3738" s="14">
        <v>240000</v>
      </c>
      <c r="W3738" s="31">
        <v>3749200</v>
      </c>
      <c r="X3738" s="131">
        <f>+E3738-W3738</f>
        <v>0</v>
      </c>
    </row>
    <row r="3739" spans="1:24" ht="15" hidden="1" x14ac:dyDescent="0.25">
      <c r="B3739" s="89">
        <v>44452.083333333336</v>
      </c>
      <c r="C3739" s="92" t="s">
        <v>3493</v>
      </c>
      <c r="D3739" s="23"/>
      <c r="E3739" s="91">
        <v>3749200</v>
      </c>
      <c r="F3739" s="93"/>
      <c r="G3739" s="93">
        <f t="shared" si="728"/>
        <v>3749200</v>
      </c>
      <c r="H3739" s="94"/>
      <c r="I3739" s="94"/>
      <c r="J3739" s="91">
        <v>32088.5</v>
      </c>
      <c r="K3739" s="25">
        <f t="shared" si="729"/>
        <v>3717111.5</v>
      </c>
      <c r="L3739" s="95">
        <f t="shared" si="730"/>
        <v>15246747</v>
      </c>
      <c r="M3739" s="20"/>
      <c r="N3739" s="20"/>
      <c r="P3739" s="84">
        <v>9424106579</v>
      </c>
      <c r="Q3739" s="127">
        <v>44378</v>
      </c>
      <c r="R3739" s="14">
        <v>187500</v>
      </c>
      <c r="S3739" s="14">
        <v>240000</v>
      </c>
      <c r="W3739" s="31"/>
      <c r="X3739" s="131"/>
    </row>
    <row r="3740" spans="1:24" ht="15" hidden="1" x14ac:dyDescent="0.25">
      <c r="B3740" s="89">
        <v>44482.083333333336</v>
      </c>
      <c r="C3740" s="92" t="s">
        <v>3494</v>
      </c>
      <c r="D3740" s="23"/>
      <c r="E3740" s="91">
        <v>3749200</v>
      </c>
      <c r="F3740" s="93"/>
      <c r="G3740" s="93">
        <f t="shared" si="728"/>
        <v>3749200</v>
      </c>
      <c r="H3740" s="94"/>
      <c r="I3740" s="94"/>
      <c r="J3740" s="91">
        <v>32088.5</v>
      </c>
      <c r="K3740" s="25">
        <f t="shared" si="729"/>
        <v>3717111.5</v>
      </c>
      <c r="L3740" s="95">
        <f t="shared" si="730"/>
        <v>11497547</v>
      </c>
      <c r="M3740" s="20"/>
      <c r="N3740" s="20"/>
      <c r="P3740" s="84">
        <v>9425495377</v>
      </c>
      <c r="Q3740" s="127">
        <v>44409</v>
      </c>
      <c r="R3740" s="14">
        <v>187500</v>
      </c>
      <c r="S3740" s="14">
        <v>240000</v>
      </c>
      <c r="W3740" s="31"/>
      <c r="X3740" s="131"/>
    </row>
    <row r="3741" spans="1:24" ht="15" hidden="1" x14ac:dyDescent="0.25">
      <c r="B3741" s="89">
        <v>44510.125</v>
      </c>
      <c r="C3741" s="92" t="s">
        <v>3495</v>
      </c>
      <c r="D3741" s="23"/>
      <c r="E3741" s="91">
        <v>3749200</v>
      </c>
      <c r="F3741" s="93"/>
      <c r="G3741" s="93">
        <f t="shared" si="728"/>
        <v>3749200</v>
      </c>
      <c r="H3741" s="94"/>
      <c r="I3741" s="94"/>
      <c r="J3741" s="91">
        <v>32088.5</v>
      </c>
      <c r="K3741" s="25">
        <f t="shared" si="729"/>
        <v>3717111.5</v>
      </c>
      <c r="L3741" s="95">
        <f t="shared" si="730"/>
        <v>7748347</v>
      </c>
      <c r="M3741" s="20"/>
      <c r="N3741" s="20"/>
      <c r="P3741" s="84">
        <v>1186714033</v>
      </c>
      <c r="Q3741" s="127">
        <v>44440</v>
      </c>
      <c r="R3741" s="14">
        <v>187500</v>
      </c>
      <c r="S3741" s="14">
        <v>240000</v>
      </c>
      <c r="W3741" s="31"/>
      <c r="X3741" s="131"/>
    </row>
    <row r="3742" spans="1:24" ht="15" hidden="1" x14ac:dyDescent="0.25">
      <c r="B3742" s="89">
        <v>44545.125</v>
      </c>
      <c r="C3742" s="92" t="s">
        <v>3496</v>
      </c>
      <c r="D3742" s="23"/>
      <c r="E3742" s="91">
        <v>3749200</v>
      </c>
      <c r="F3742" s="93"/>
      <c r="G3742" s="93">
        <f t="shared" si="728"/>
        <v>3749200</v>
      </c>
      <c r="H3742" s="94"/>
      <c r="I3742" s="94"/>
      <c r="J3742" s="91">
        <v>32088.5</v>
      </c>
      <c r="K3742" s="25">
        <f t="shared" si="729"/>
        <v>3717111.5</v>
      </c>
      <c r="L3742" s="95">
        <f t="shared" si="730"/>
        <v>3999147</v>
      </c>
      <c r="M3742" s="20"/>
      <c r="N3742" s="20"/>
      <c r="P3742" s="84">
        <v>9427674061</v>
      </c>
      <c r="Q3742" s="127">
        <v>44470</v>
      </c>
      <c r="R3742" s="14">
        <v>187500</v>
      </c>
      <c r="S3742" s="14">
        <v>240000</v>
      </c>
      <c r="W3742" s="31"/>
      <c r="X3742" s="131"/>
    </row>
    <row r="3743" spans="1:24" ht="15" hidden="1" x14ac:dyDescent="0.25">
      <c r="B3743" s="89"/>
      <c r="C3743" s="92"/>
      <c r="D3743" s="23"/>
      <c r="E3743" s="91"/>
      <c r="F3743" s="93"/>
      <c r="G3743" s="93"/>
      <c r="H3743" s="94"/>
      <c r="I3743" s="94"/>
      <c r="J3743" s="91"/>
      <c r="K3743" s="25"/>
      <c r="L3743" s="95"/>
      <c r="M3743" s="20"/>
      <c r="N3743" s="20"/>
      <c r="P3743" s="84">
        <v>9428148260</v>
      </c>
      <c r="Q3743" s="127">
        <v>44501</v>
      </c>
      <c r="R3743" s="14">
        <v>187500</v>
      </c>
      <c r="S3743" s="14">
        <v>240000</v>
      </c>
      <c r="W3743" s="31"/>
      <c r="X3743" s="131"/>
    </row>
    <row r="3744" spans="1:24" ht="15" hidden="1" x14ac:dyDescent="0.25">
      <c r="A3744" s="21">
        <v>2352021</v>
      </c>
      <c r="B3744" s="139" t="s">
        <v>3497</v>
      </c>
      <c r="C3744" s="140"/>
      <c r="D3744" s="141">
        <v>41241200</v>
      </c>
      <c r="E3744" s="141">
        <f>+D3744</f>
        <v>41241200</v>
      </c>
      <c r="F3744" s="141"/>
      <c r="G3744" s="141"/>
      <c r="H3744" s="141"/>
      <c r="I3744" s="141"/>
      <c r="J3744" s="141"/>
      <c r="K3744" s="141"/>
      <c r="L3744" s="141">
        <f>+D3744</f>
        <v>41241200</v>
      </c>
      <c r="M3744" s="142"/>
      <c r="N3744" s="142"/>
      <c r="O3744" s="149">
        <f>+VLOOKUP(A3744,'[1]ANEXO 7 - PPTO VIG 2021'!$H$8:$AB$160,21,)-L3755</f>
        <v>-1249733</v>
      </c>
      <c r="R3744" s="99">
        <f>SUM(R3733:R3743)</f>
        <v>1988600</v>
      </c>
      <c r="S3744" s="185">
        <f>SUM(S3733:S3743)</f>
        <v>2545400</v>
      </c>
    </row>
    <row r="3745" spans="1:24" ht="15" hidden="1" x14ac:dyDescent="0.25">
      <c r="B3745" s="89">
        <v>44278.083333333336</v>
      </c>
      <c r="C3745" s="92" t="s">
        <v>3498</v>
      </c>
      <c r="D3745" s="23"/>
      <c r="E3745" s="91">
        <v>2499467</v>
      </c>
      <c r="F3745" s="93"/>
      <c r="G3745" s="93">
        <f t="shared" ref="G3745:G3755" si="731">+E3745</f>
        <v>2499467</v>
      </c>
      <c r="H3745" s="94"/>
      <c r="I3745" s="94">
        <v>0</v>
      </c>
      <c r="J3745" s="91">
        <v>24144.85</v>
      </c>
      <c r="K3745" s="25">
        <f t="shared" ref="K3745:K3755" si="732">+G3745-H3745-I3745-J3745</f>
        <v>2475322.15</v>
      </c>
      <c r="L3745" s="95">
        <f t="shared" ref="L3745:L3750" si="733">+L3744-G3745</f>
        <v>38741733</v>
      </c>
      <c r="M3745" s="96"/>
      <c r="N3745" s="96"/>
      <c r="P3745" s="248" t="s">
        <v>3133</v>
      </c>
      <c r="Q3745" s="248"/>
      <c r="R3745" s="248"/>
      <c r="S3745" s="248"/>
      <c r="U3745" s="3"/>
      <c r="V3745" s="179"/>
    </row>
    <row r="3746" spans="1:24" ht="15" hidden="1" x14ac:dyDescent="0.25">
      <c r="B3746" s="89">
        <v>44292.083333333336</v>
      </c>
      <c r="C3746" s="92" t="s">
        <v>3499</v>
      </c>
      <c r="D3746" s="23"/>
      <c r="E3746" s="91">
        <v>3749200</v>
      </c>
      <c r="F3746" s="93"/>
      <c r="G3746" s="93">
        <f t="shared" si="731"/>
        <v>3749200</v>
      </c>
      <c r="H3746" s="94"/>
      <c r="I3746" s="94"/>
      <c r="J3746" s="91">
        <v>32088.5</v>
      </c>
      <c r="K3746" s="25">
        <f t="shared" si="732"/>
        <v>3717111.5</v>
      </c>
      <c r="L3746" s="95">
        <f t="shared" si="733"/>
        <v>34992533</v>
      </c>
      <c r="M3746" s="96"/>
      <c r="N3746" s="96"/>
      <c r="P3746" s="21">
        <v>9417507614</v>
      </c>
      <c r="Q3746" s="174">
        <v>44228</v>
      </c>
      <c r="R3746" s="125">
        <v>187500</v>
      </c>
      <c r="S3746" s="125">
        <v>240400</v>
      </c>
      <c r="T3746" s="3">
        <f>+L3744-1249733</f>
        <v>39991467</v>
      </c>
      <c r="U3746" s="3">
        <f>+T3746*40%</f>
        <v>15996586.800000001</v>
      </c>
      <c r="V3746" s="196" t="s">
        <v>3500</v>
      </c>
    </row>
    <row r="3747" spans="1:24" ht="15" hidden="1" x14ac:dyDescent="0.25">
      <c r="B3747" s="89">
        <v>44320.083333333336</v>
      </c>
      <c r="C3747" s="92" t="s">
        <v>3501</v>
      </c>
      <c r="D3747" s="23"/>
      <c r="E3747" s="91">
        <v>3749200</v>
      </c>
      <c r="F3747" s="93"/>
      <c r="G3747" s="93">
        <f t="shared" si="731"/>
        <v>3749200</v>
      </c>
      <c r="H3747" s="94"/>
      <c r="I3747" s="94"/>
      <c r="J3747" s="91">
        <v>32088.5</v>
      </c>
      <c r="K3747" s="25">
        <f t="shared" si="732"/>
        <v>3717111.5</v>
      </c>
      <c r="L3747" s="95">
        <f t="shared" si="733"/>
        <v>31243333</v>
      </c>
      <c r="M3747" s="20">
        <v>3749200</v>
      </c>
      <c r="N3747" s="20">
        <f>+G3747-M3747</f>
        <v>0</v>
      </c>
      <c r="P3747" s="55">
        <v>9417584791</v>
      </c>
      <c r="Q3747" s="174">
        <v>44256</v>
      </c>
      <c r="R3747" s="125">
        <v>187800</v>
      </c>
      <c r="S3747" s="125">
        <v>240400</v>
      </c>
    </row>
    <row r="3748" spans="1:24" ht="15" hidden="1" x14ac:dyDescent="0.25">
      <c r="B3748" s="89">
        <v>44355.083333333336</v>
      </c>
      <c r="C3748" s="92" t="s">
        <v>3502</v>
      </c>
      <c r="D3748" s="23"/>
      <c r="E3748" s="91">
        <v>3749200</v>
      </c>
      <c r="F3748" s="93"/>
      <c r="G3748" s="93">
        <f t="shared" si="731"/>
        <v>3749200</v>
      </c>
      <c r="H3748" s="94"/>
      <c r="I3748" s="94"/>
      <c r="J3748" s="91">
        <v>32088.5</v>
      </c>
      <c r="K3748" s="25">
        <f t="shared" si="732"/>
        <v>3717111.5</v>
      </c>
      <c r="L3748" s="95">
        <f t="shared" si="733"/>
        <v>27494133</v>
      </c>
      <c r="M3748" s="20"/>
      <c r="N3748" s="20"/>
      <c r="P3748" s="84">
        <v>979490321</v>
      </c>
      <c r="Q3748" s="174">
        <v>44287</v>
      </c>
      <c r="R3748" s="125">
        <v>187800</v>
      </c>
      <c r="S3748" s="125">
        <v>240400</v>
      </c>
      <c r="U3748" s="3">
        <f>+U3746*12.5%</f>
        <v>1999573.35</v>
      </c>
      <c r="V3748" s="172" t="s">
        <v>2769</v>
      </c>
    </row>
    <row r="3749" spans="1:24" ht="15" hidden="1" x14ac:dyDescent="0.25">
      <c r="B3749" s="89">
        <v>44389.083333333336</v>
      </c>
      <c r="C3749" s="92" t="s">
        <v>3503</v>
      </c>
      <c r="D3749" s="23"/>
      <c r="E3749" s="91">
        <v>3749200</v>
      </c>
      <c r="F3749" s="93"/>
      <c r="G3749" s="93">
        <f t="shared" si="731"/>
        <v>3749200</v>
      </c>
      <c r="H3749" s="94"/>
      <c r="I3749" s="94"/>
      <c r="J3749" s="91">
        <v>32088.5</v>
      </c>
      <c r="K3749" s="25">
        <f t="shared" si="732"/>
        <v>3717111.5</v>
      </c>
      <c r="L3749" s="95">
        <f t="shared" si="733"/>
        <v>23744933</v>
      </c>
      <c r="M3749" s="20"/>
      <c r="N3749" s="20"/>
      <c r="P3749" s="84">
        <v>9419870682</v>
      </c>
      <c r="Q3749" s="174">
        <v>44317</v>
      </c>
      <c r="R3749" s="125">
        <v>187800</v>
      </c>
      <c r="S3749" s="125">
        <v>240400</v>
      </c>
      <c r="U3749" s="3">
        <f>+U3746*16%</f>
        <v>2559453.8880000003</v>
      </c>
      <c r="V3749" s="173" t="s">
        <v>2771</v>
      </c>
    </row>
    <row r="3750" spans="1:24" ht="15" hidden="1" x14ac:dyDescent="0.25">
      <c r="B3750" s="89">
        <v>44411.083333333336</v>
      </c>
      <c r="C3750" s="92" t="s">
        <v>3504</v>
      </c>
      <c r="D3750" s="23"/>
      <c r="E3750" s="91">
        <v>3749200</v>
      </c>
      <c r="F3750" s="93"/>
      <c r="G3750" s="93">
        <f t="shared" si="731"/>
        <v>3749200</v>
      </c>
      <c r="H3750" s="94"/>
      <c r="I3750" s="94"/>
      <c r="J3750" s="91">
        <v>32088.5</v>
      </c>
      <c r="K3750" s="25">
        <f t="shared" si="732"/>
        <v>3717111.5</v>
      </c>
      <c r="L3750" s="95">
        <f t="shared" si="733"/>
        <v>19995733</v>
      </c>
      <c r="M3750" s="20"/>
      <c r="N3750" s="20"/>
      <c r="P3750" s="84">
        <v>9421094691</v>
      </c>
      <c r="Q3750" s="174">
        <v>44348</v>
      </c>
      <c r="R3750" s="125">
        <v>187800</v>
      </c>
      <c r="S3750" s="125">
        <v>240400</v>
      </c>
      <c r="U3750" s="3"/>
      <c r="W3750" s="31" t="e">
        <v>#N/A</v>
      </c>
      <c r="X3750" s="131" t="e">
        <f>+E3750-W3750</f>
        <v>#N/A</v>
      </c>
    </row>
    <row r="3751" spans="1:24" ht="15" hidden="1" x14ac:dyDescent="0.25">
      <c r="B3751" s="89">
        <v>44441.083333333336</v>
      </c>
      <c r="C3751" s="92" t="s">
        <v>3505</v>
      </c>
      <c r="D3751" s="23"/>
      <c r="E3751" s="91">
        <v>3749200</v>
      </c>
      <c r="F3751" s="93"/>
      <c r="G3751" s="93">
        <f t="shared" si="731"/>
        <v>3749200</v>
      </c>
      <c r="H3751" s="94"/>
      <c r="I3751" s="94"/>
      <c r="J3751" s="91">
        <v>32088.5</v>
      </c>
      <c r="K3751" s="25">
        <f t="shared" si="732"/>
        <v>3717111.5</v>
      </c>
      <c r="L3751" s="95">
        <f>+L3750-G3751</f>
        <v>16246533</v>
      </c>
      <c r="M3751" s="20"/>
      <c r="N3751" s="20"/>
      <c r="P3751" s="84">
        <v>9422280888</v>
      </c>
      <c r="Q3751" s="174">
        <v>44378</v>
      </c>
      <c r="R3751" s="125">
        <v>187800</v>
      </c>
      <c r="S3751" s="125">
        <v>240400</v>
      </c>
      <c r="W3751" s="31"/>
      <c r="X3751" s="131"/>
    </row>
    <row r="3752" spans="1:24" ht="15" hidden="1" x14ac:dyDescent="0.25">
      <c r="B3752" s="89">
        <v>44474.083333333336</v>
      </c>
      <c r="C3752" s="92" t="s">
        <v>3506</v>
      </c>
      <c r="D3752" s="23"/>
      <c r="E3752" s="91">
        <v>3749200</v>
      </c>
      <c r="F3752" s="93"/>
      <c r="G3752" s="93">
        <f t="shared" si="731"/>
        <v>3749200</v>
      </c>
      <c r="H3752" s="94"/>
      <c r="I3752" s="94"/>
      <c r="J3752" s="91">
        <v>32088.5</v>
      </c>
      <c r="K3752" s="25">
        <f t="shared" si="732"/>
        <v>3717111.5</v>
      </c>
      <c r="L3752" s="95">
        <f>+L3751-G3752</f>
        <v>12497333</v>
      </c>
      <c r="M3752" s="20"/>
      <c r="N3752" s="20"/>
      <c r="P3752" s="84">
        <v>9423485103</v>
      </c>
      <c r="Q3752" s="174">
        <v>44409</v>
      </c>
      <c r="R3752" s="125">
        <v>187800</v>
      </c>
      <c r="S3752" s="125">
        <v>240400</v>
      </c>
      <c r="W3752" s="31"/>
      <c r="X3752" s="131"/>
    </row>
    <row r="3753" spans="1:24" ht="15" hidden="1" x14ac:dyDescent="0.25">
      <c r="B3753" s="89">
        <v>44509.125</v>
      </c>
      <c r="C3753" s="92" t="s">
        <v>3507</v>
      </c>
      <c r="D3753" s="23"/>
      <c r="E3753" s="91">
        <v>3749200</v>
      </c>
      <c r="F3753" s="93"/>
      <c r="G3753" s="93">
        <f t="shared" si="731"/>
        <v>3749200</v>
      </c>
      <c r="H3753" s="94"/>
      <c r="I3753" s="94"/>
      <c r="J3753" s="91">
        <v>32088.5</v>
      </c>
      <c r="K3753" s="25">
        <f t="shared" si="732"/>
        <v>3717111.5</v>
      </c>
      <c r="L3753" s="95">
        <f>+L3752-G3753</f>
        <v>8748133</v>
      </c>
      <c r="M3753" s="20"/>
      <c r="N3753" s="20"/>
      <c r="P3753" s="84">
        <v>9424689794</v>
      </c>
      <c r="Q3753" s="174">
        <v>44440</v>
      </c>
      <c r="R3753" s="125">
        <v>187800</v>
      </c>
      <c r="S3753" s="125">
        <v>240400</v>
      </c>
      <c r="W3753" s="31"/>
      <c r="X3753" s="131"/>
    </row>
    <row r="3754" spans="1:24" ht="15" hidden="1" x14ac:dyDescent="0.25">
      <c r="B3754" s="89">
        <v>44536.125</v>
      </c>
      <c r="C3754" s="92" t="s">
        <v>3508</v>
      </c>
      <c r="D3754" s="23"/>
      <c r="E3754" s="91">
        <v>3749200</v>
      </c>
      <c r="F3754" s="93"/>
      <c r="G3754" s="93">
        <f t="shared" si="731"/>
        <v>3749200</v>
      </c>
      <c r="H3754" s="94"/>
      <c r="I3754" s="94"/>
      <c r="J3754" s="91">
        <v>32088.5</v>
      </c>
      <c r="K3754" s="25">
        <f t="shared" si="732"/>
        <v>3717111.5</v>
      </c>
      <c r="L3754" s="95">
        <f>+L3753-G3754</f>
        <v>4998933</v>
      </c>
      <c r="M3754" s="20"/>
      <c r="N3754" s="20"/>
      <c r="P3754" s="84">
        <v>9425872129</v>
      </c>
      <c r="Q3754" s="174">
        <v>44470</v>
      </c>
      <c r="R3754" s="125">
        <v>187800</v>
      </c>
      <c r="S3754" s="125">
        <v>240400</v>
      </c>
      <c r="W3754" s="31"/>
      <c r="X3754" s="131"/>
    </row>
    <row r="3755" spans="1:24" ht="15" hidden="1" x14ac:dyDescent="0.25">
      <c r="B3755" s="89">
        <v>44559.125</v>
      </c>
      <c r="C3755" s="92" t="s">
        <v>3509</v>
      </c>
      <c r="D3755" s="23"/>
      <c r="E3755" s="91">
        <v>3749200</v>
      </c>
      <c r="F3755" s="93"/>
      <c r="G3755" s="93">
        <f t="shared" si="731"/>
        <v>3749200</v>
      </c>
      <c r="H3755" s="94"/>
      <c r="I3755" s="94"/>
      <c r="J3755" s="91">
        <v>32088.5</v>
      </c>
      <c r="K3755" s="25">
        <f t="shared" si="732"/>
        <v>3717111.5</v>
      </c>
      <c r="L3755" s="95">
        <f>+L3754-G3755</f>
        <v>1249733</v>
      </c>
      <c r="M3755" s="20"/>
      <c r="N3755" s="20"/>
      <c r="P3755" s="84">
        <v>9427136333</v>
      </c>
      <c r="Q3755" s="174">
        <v>44501</v>
      </c>
      <c r="R3755" s="125">
        <v>187800</v>
      </c>
      <c r="S3755" s="125">
        <v>240400</v>
      </c>
      <c r="W3755" s="31"/>
      <c r="X3755" s="131"/>
    </row>
    <row r="3756" spans="1:24" ht="15" hidden="1" x14ac:dyDescent="0.25">
      <c r="B3756" s="89"/>
      <c r="C3756" s="92"/>
      <c r="D3756" s="23"/>
      <c r="E3756" s="91"/>
      <c r="F3756" s="93"/>
      <c r="G3756" s="93"/>
      <c r="H3756" s="94"/>
      <c r="I3756" s="94"/>
      <c r="J3756" s="91"/>
      <c r="K3756" s="25"/>
      <c r="L3756" s="95"/>
      <c r="M3756" s="20"/>
      <c r="N3756" s="20"/>
      <c r="P3756" s="84">
        <v>9428302286</v>
      </c>
      <c r="Q3756" s="174">
        <v>44531</v>
      </c>
      <c r="R3756" s="125">
        <v>187800</v>
      </c>
      <c r="S3756" s="125">
        <v>240400</v>
      </c>
      <c r="W3756" s="31"/>
      <c r="X3756" s="131"/>
    </row>
    <row r="3757" spans="1:24" ht="15" hidden="1" x14ac:dyDescent="0.25">
      <c r="B3757" s="89"/>
      <c r="C3757" s="92"/>
      <c r="D3757" s="23"/>
      <c r="E3757" s="91"/>
      <c r="F3757" s="93"/>
      <c r="G3757" s="93"/>
      <c r="H3757" s="94"/>
      <c r="I3757" s="94"/>
      <c r="J3757" s="91"/>
      <c r="K3757" s="25"/>
      <c r="L3757" s="95"/>
      <c r="M3757" s="20"/>
      <c r="N3757" s="20"/>
      <c r="P3757" s="84"/>
      <c r="Q3757" s="174"/>
      <c r="R3757" s="99">
        <f>SUM(R3746:R3756)</f>
        <v>2065500</v>
      </c>
      <c r="S3757" s="185">
        <f>SUM(S3746:S3756)</f>
        <v>2644400</v>
      </c>
      <c r="W3757" s="31"/>
      <c r="X3757" s="131"/>
    </row>
    <row r="3758" spans="1:24" ht="15" hidden="1" x14ac:dyDescent="0.25">
      <c r="A3758" s="21">
        <v>2292021</v>
      </c>
      <c r="B3758" s="139" t="s">
        <v>3510</v>
      </c>
      <c r="C3758" s="140"/>
      <c r="D3758" s="141">
        <v>91800000</v>
      </c>
      <c r="E3758" s="141">
        <f>+D3758</f>
        <v>91800000</v>
      </c>
      <c r="F3758" s="141"/>
      <c r="G3758" s="141"/>
      <c r="H3758" s="141"/>
      <c r="I3758" s="141"/>
      <c r="J3758" s="141"/>
      <c r="K3758" s="141"/>
      <c r="L3758" s="141">
        <f>+D3758</f>
        <v>91800000</v>
      </c>
      <c r="M3758" s="142"/>
      <c r="N3758" s="142"/>
      <c r="O3758" s="149">
        <f>+VLOOKUP(A3758,'[1]ANEXO 7 - PPTO VIG 2021'!$H$8:$AB$160,21,)-L3769</f>
        <v>0</v>
      </c>
    </row>
    <row r="3759" spans="1:24" ht="15" hidden="1" x14ac:dyDescent="0.25">
      <c r="B3759" s="89">
        <v>44272.083333333336</v>
      </c>
      <c r="C3759" s="92" t="s">
        <v>3511</v>
      </c>
      <c r="D3759" s="23"/>
      <c r="E3759" s="91">
        <v>6800000</v>
      </c>
      <c r="F3759" s="93"/>
      <c r="G3759" s="93">
        <f t="shared" ref="G3759:G3769" si="734">+E3759</f>
        <v>6800000</v>
      </c>
      <c r="H3759" s="94">
        <v>162857.14000000001</v>
      </c>
      <c r="I3759" s="94">
        <v>39906.230000000003</v>
      </c>
      <c r="J3759" s="91">
        <v>52698.06</v>
      </c>
      <c r="K3759" s="25">
        <f t="shared" ref="K3759:K3769" si="735">+G3759-H3759-I3759-J3759</f>
        <v>6544538.5700000003</v>
      </c>
      <c r="L3759" s="95">
        <f t="shared" ref="L3759:L3764" si="736">+L3758-G3759</f>
        <v>85000000</v>
      </c>
      <c r="M3759" s="96"/>
      <c r="N3759" s="96"/>
      <c r="P3759" s="21">
        <v>48791095</v>
      </c>
      <c r="Q3759" s="127">
        <v>44197</v>
      </c>
      <c r="R3759" s="14">
        <v>113600</v>
      </c>
      <c r="S3759" s="14">
        <v>145400</v>
      </c>
      <c r="T3759" s="3">
        <f>+L3758</f>
        <v>91800000</v>
      </c>
      <c r="U3759" s="3">
        <f>+T3759*40%</f>
        <v>36720000</v>
      </c>
      <c r="V3759" s="196" t="s">
        <v>3500</v>
      </c>
    </row>
    <row r="3760" spans="1:24" ht="15" hidden="1" x14ac:dyDescent="0.25">
      <c r="B3760" s="89">
        <v>44301.083333333336</v>
      </c>
      <c r="C3760" s="92" t="s">
        <v>3512</v>
      </c>
      <c r="D3760" s="23"/>
      <c r="E3760" s="91">
        <v>8500000</v>
      </c>
      <c r="F3760" s="93"/>
      <c r="G3760" s="93">
        <f t="shared" si="734"/>
        <v>8500000</v>
      </c>
      <c r="H3760" s="91">
        <v>203571.43</v>
      </c>
      <c r="I3760" s="91">
        <v>136358.39999999999</v>
      </c>
      <c r="J3760" s="91">
        <v>61134</v>
      </c>
      <c r="K3760" s="25">
        <f t="shared" si="735"/>
        <v>8098936.1699999999</v>
      </c>
      <c r="L3760" s="95">
        <f t="shared" si="736"/>
        <v>76500000</v>
      </c>
      <c r="M3760" s="96"/>
      <c r="N3760" s="96"/>
      <c r="P3760" s="55">
        <v>49433046</v>
      </c>
      <c r="Q3760" s="127">
        <v>44228</v>
      </c>
      <c r="R3760" s="14">
        <v>712900</v>
      </c>
      <c r="S3760" s="14">
        <v>969700</v>
      </c>
    </row>
    <row r="3761" spans="1:24" ht="15" hidden="1" x14ac:dyDescent="0.25">
      <c r="B3761" s="89">
        <v>44328.083333333336</v>
      </c>
      <c r="C3761" s="92" t="s">
        <v>3513</v>
      </c>
      <c r="D3761" s="23"/>
      <c r="E3761" s="91">
        <v>8500000</v>
      </c>
      <c r="F3761" s="93"/>
      <c r="G3761" s="93">
        <f t="shared" si="734"/>
        <v>8500000</v>
      </c>
      <c r="H3761" s="94">
        <v>203571.43</v>
      </c>
      <c r="I3761" s="94">
        <v>136101.88</v>
      </c>
      <c r="J3761" s="91">
        <v>61134</v>
      </c>
      <c r="K3761" s="25">
        <f t="shared" si="735"/>
        <v>8099192.6900000004</v>
      </c>
      <c r="L3761" s="95">
        <f t="shared" si="736"/>
        <v>68000000</v>
      </c>
      <c r="M3761" s="20">
        <v>8500000</v>
      </c>
      <c r="N3761" s="20">
        <f>+G3761-M3761</f>
        <v>0</v>
      </c>
      <c r="P3761" s="55">
        <v>49433004</v>
      </c>
      <c r="Q3761" s="127">
        <v>44256</v>
      </c>
      <c r="R3761" s="14">
        <v>755700</v>
      </c>
      <c r="S3761" s="14">
        <v>1027900</v>
      </c>
      <c r="U3761" s="3">
        <f>+U3759*12.5%</f>
        <v>4590000</v>
      </c>
      <c r="V3761" s="172" t="s">
        <v>2769</v>
      </c>
    </row>
    <row r="3762" spans="1:24" ht="15" hidden="1" x14ac:dyDescent="0.25">
      <c r="B3762" s="89">
        <v>44358.083333333336</v>
      </c>
      <c r="C3762" s="92" t="s">
        <v>3514</v>
      </c>
      <c r="D3762" s="23"/>
      <c r="E3762" s="91">
        <v>8500000</v>
      </c>
      <c r="F3762" s="93"/>
      <c r="G3762" s="93">
        <f t="shared" si="734"/>
        <v>8500000</v>
      </c>
      <c r="H3762" s="94">
        <v>203571.43</v>
      </c>
      <c r="I3762" s="94">
        <v>136101.88</v>
      </c>
      <c r="J3762" s="91">
        <v>61134</v>
      </c>
      <c r="K3762" s="25">
        <f t="shared" si="735"/>
        <v>8099192.6900000004</v>
      </c>
      <c r="L3762" s="95">
        <f t="shared" si="736"/>
        <v>59500000</v>
      </c>
      <c r="M3762" s="20"/>
      <c r="N3762" s="20"/>
      <c r="P3762" s="55">
        <v>50641873</v>
      </c>
      <c r="Q3762" s="127">
        <v>44287</v>
      </c>
      <c r="R3762" s="14">
        <v>755700</v>
      </c>
      <c r="S3762" s="14">
        <v>1027900</v>
      </c>
      <c r="U3762" s="3">
        <f>+U3759*16%</f>
        <v>5875200</v>
      </c>
      <c r="V3762" s="173" t="s">
        <v>2771</v>
      </c>
    </row>
    <row r="3763" spans="1:24" ht="15" hidden="1" x14ac:dyDescent="0.25">
      <c r="B3763" s="89">
        <v>44386.083333333336</v>
      </c>
      <c r="C3763" s="92" t="s">
        <v>3515</v>
      </c>
      <c r="D3763" s="23"/>
      <c r="E3763" s="91">
        <v>8500000</v>
      </c>
      <c r="F3763" s="93"/>
      <c r="G3763" s="93">
        <f t="shared" si="734"/>
        <v>8500000</v>
      </c>
      <c r="H3763" s="94">
        <v>203571.43</v>
      </c>
      <c r="I3763" s="94">
        <v>136101.88</v>
      </c>
      <c r="J3763" s="91">
        <v>61134</v>
      </c>
      <c r="K3763" s="25">
        <f t="shared" si="735"/>
        <v>8099192.6900000004</v>
      </c>
      <c r="L3763" s="95">
        <f t="shared" si="736"/>
        <v>51000000</v>
      </c>
      <c r="M3763" s="20"/>
      <c r="N3763" s="20"/>
      <c r="P3763" s="55">
        <v>1017977894</v>
      </c>
      <c r="Q3763" s="127">
        <v>44317</v>
      </c>
      <c r="R3763" s="14">
        <v>755700</v>
      </c>
      <c r="S3763" s="14">
        <v>1027900</v>
      </c>
    </row>
    <row r="3764" spans="1:24" ht="15" hidden="1" x14ac:dyDescent="0.25">
      <c r="B3764" s="89">
        <v>44411.083333333336</v>
      </c>
      <c r="C3764" s="92" t="s">
        <v>3516</v>
      </c>
      <c r="D3764" s="23"/>
      <c r="E3764" s="91">
        <v>8500000</v>
      </c>
      <c r="F3764" s="93"/>
      <c r="G3764" s="93">
        <f t="shared" si="734"/>
        <v>8500000</v>
      </c>
      <c r="H3764" s="94">
        <v>203571.43</v>
      </c>
      <c r="I3764" s="94">
        <v>136101.88</v>
      </c>
      <c r="J3764" s="91">
        <v>61134</v>
      </c>
      <c r="K3764" s="25">
        <f t="shared" si="735"/>
        <v>8099192.6900000004</v>
      </c>
      <c r="L3764" s="95">
        <f t="shared" si="736"/>
        <v>42500000</v>
      </c>
      <c r="M3764" s="20"/>
      <c r="N3764" s="20"/>
      <c r="P3764" s="84">
        <v>51599212</v>
      </c>
      <c r="Q3764" s="127">
        <v>44348</v>
      </c>
      <c r="R3764" s="14">
        <v>755700</v>
      </c>
      <c r="S3764" s="14">
        <v>1027900</v>
      </c>
      <c r="W3764" s="31" t="e">
        <v>#N/A</v>
      </c>
      <c r="X3764" s="131" t="e">
        <f>+E3764-W3764</f>
        <v>#N/A</v>
      </c>
    </row>
    <row r="3765" spans="1:24" ht="15" hidden="1" x14ac:dyDescent="0.25">
      <c r="B3765" s="89">
        <v>44445.083333333336</v>
      </c>
      <c r="C3765" s="92" t="s">
        <v>3517</v>
      </c>
      <c r="D3765" s="23"/>
      <c r="E3765" s="91">
        <v>8500000</v>
      </c>
      <c r="F3765" s="93"/>
      <c r="G3765" s="93">
        <f t="shared" si="734"/>
        <v>8500000</v>
      </c>
      <c r="H3765" s="94">
        <v>203571.43</v>
      </c>
      <c r="I3765" s="94">
        <v>136101.88</v>
      </c>
      <c r="J3765" s="91">
        <v>61134</v>
      </c>
      <c r="K3765" s="25">
        <f t="shared" si="735"/>
        <v>8099192.6900000004</v>
      </c>
      <c r="L3765" s="95">
        <f>+L3764-G3765</f>
        <v>34000000</v>
      </c>
      <c r="M3765" s="20"/>
      <c r="N3765" s="20"/>
      <c r="P3765" s="84">
        <v>52270817</v>
      </c>
      <c r="Q3765" s="127">
        <v>44378</v>
      </c>
      <c r="R3765" s="14">
        <v>755700</v>
      </c>
      <c r="S3765" s="14">
        <v>1027900</v>
      </c>
      <c r="W3765" s="31"/>
      <c r="X3765" s="131"/>
    </row>
    <row r="3766" spans="1:24" ht="15" hidden="1" x14ac:dyDescent="0.25">
      <c r="B3766" s="89">
        <v>44477.083333333336</v>
      </c>
      <c r="C3766" s="92" t="s">
        <v>3518</v>
      </c>
      <c r="D3766" s="23"/>
      <c r="E3766" s="91">
        <v>8500000</v>
      </c>
      <c r="F3766" s="93"/>
      <c r="G3766" s="93">
        <f t="shared" si="734"/>
        <v>8500000</v>
      </c>
      <c r="H3766" s="94">
        <v>203571.43</v>
      </c>
      <c r="I3766" s="94">
        <v>136101.88</v>
      </c>
      <c r="J3766" s="91">
        <v>61134</v>
      </c>
      <c r="K3766" s="25">
        <f t="shared" si="735"/>
        <v>8099192.6900000004</v>
      </c>
      <c r="L3766" s="95">
        <f>+L3765-G3766</f>
        <v>25500000</v>
      </c>
      <c r="M3766" s="20"/>
      <c r="N3766" s="20"/>
      <c r="P3766" s="84">
        <v>52957236</v>
      </c>
      <c r="Q3766" s="127">
        <v>44409</v>
      </c>
      <c r="R3766" s="14">
        <v>755700</v>
      </c>
      <c r="S3766" s="14">
        <v>1027900</v>
      </c>
      <c r="W3766" s="31"/>
      <c r="X3766" s="131"/>
    </row>
    <row r="3767" spans="1:24" ht="15" hidden="1" x14ac:dyDescent="0.25">
      <c r="B3767" s="89">
        <v>44517.125</v>
      </c>
      <c r="C3767" s="92" t="s">
        <v>3519</v>
      </c>
      <c r="D3767" s="23"/>
      <c r="E3767" s="91">
        <v>8500000</v>
      </c>
      <c r="F3767" s="93"/>
      <c r="G3767" s="93">
        <f t="shared" si="734"/>
        <v>8500000</v>
      </c>
      <c r="H3767" s="94">
        <v>203571.43</v>
      </c>
      <c r="I3767" s="94">
        <v>136101.88</v>
      </c>
      <c r="J3767" s="91">
        <v>61134</v>
      </c>
      <c r="K3767" s="25">
        <f t="shared" si="735"/>
        <v>8099192.6900000004</v>
      </c>
      <c r="L3767" s="95">
        <f>+L3766-G3767</f>
        <v>17000000</v>
      </c>
      <c r="M3767" s="20"/>
      <c r="N3767" s="20"/>
      <c r="P3767" s="84">
        <v>53639493</v>
      </c>
      <c r="Q3767" s="127">
        <v>44440</v>
      </c>
      <c r="R3767" s="14">
        <v>755700</v>
      </c>
      <c r="S3767" s="14">
        <v>1027900</v>
      </c>
      <c r="W3767" s="31"/>
      <c r="X3767" s="131"/>
    </row>
    <row r="3768" spans="1:24" ht="15" hidden="1" x14ac:dyDescent="0.25">
      <c r="B3768" s="89">
        <v>44533.125</v>
      </c>
      <c r="C3768" s="92" t="s">
        <v>3520</v>
      </c>
      <c r="D3768" s="23"/>
      <c r="E3768" s="91">
        <v>8500000</v>
      </c>
      <c r="F3768" s="93"/>
      <c r="G3768" s="93">
        <f t="shared" si="734"/>
        <v>8500000</v>
      </c>
      <c r="H3768" s="94">
        <v>203571.43</v>
      </c>
      <c r="I3768" s="94">
        <v>136101.88</v>
      </c>
      <c r="J3768" s="91">
        <v>61134</v>
      </c>
      <c r="K3768" s="25">
        <f t="shared" si="735"/>
        <v>8099192.6900000004</v>
      </c>
      <c r="L3768" s="95">
        <f>+L3767-G3768</f>
        <v>8500000</v>
      </c>
      <c r="M3768" s="20"/>
      <c r="N3768" s="20"/>
      <c r="P3768" s="84">
        <v>54311783</v>
      </c>
      <c r="Q3768" s="127">
        <v>44470</v>
      </c>
      <c r="R3768" s="14">
        <v>755700</v>
      </c>
      <c r="S3768" s="14">
        <v>1027900</v>
      </c>
      <c r="W3768" s="31"/>
      <c r="X3768" s="131"/>
    </row>
    <row r="3769" spans="1:24" ht="15" hidden="1" x14ac:dyDescent="0.25">
      <c r="B3769" s="89">
        <v>44551.125</v>
      </c>
      <c r="C3769" s="92" t="s">
        <v>3521</v>
      </c>
      <c r="D3769" s="23"/>
      <c r="E3769" s="91">
        <v>8500000</v>
      </c>
      <c r="F3769" s="93"/>
      <c r="G3769" s="93">
        <f t="shared" si="734"/>
        <v>8500000</v>
      </c>
      <c r="H3769" s="94">
        <v>203571.43</v>
      </c>
      <c r="I3769" s="94">
        <v>136101.88</v>
      </c>
      <c r="J3769" s="91">
        <v>61134</v>
      </c>
      <c r="K3769" s="25">
        <f t="shared" si="735"/>
        <v>8099192.6900000004</v>
      </c>
      <c r="L3769" s="95">
        <f>+L3768-G3769</f>
        <v>0</v>
      </c>
      <c r="M3769" s="20"/>
      <c r="N3769" s="20"/>
      <c r="P3769" s="84">
        <v>55292994</v>
      </c>
      <c r="Q3769" s="127">
        <v>44531</v>
      </c>
      <c r="R3769" s="14">
        <v>755700</v>
      </c>
      <c r="S3769" s="14">
        <v>1027900</v>
      </c>
      <c r="W3769" s="31"/>
      <c r="X3769" s="131"/>
    </row>
    <row r="3770" spans="1:24" ht="15" hidden="1" x14ac:dyDescent="0.25">
      <c r="B3770" s="89"/>
      <c r="C3770" s="92"/>
      <c r="D3770" s="23"/>
      <c r="E3770" s="91"/>
      <c r="F3770" s="93"/>
      <c r="G3770" s="93"/>
      <c r="H3770" s="94"/>
      <c r="I3770" s="94"/>
      <c r="J3770" s="91"/>
      <c r="K3770" s="25"/>
      <c r="L3770" s="95"/>
      <c r="M3770" s="20"/>
      <c r="N3770" s="20"/>
      <c r="P3770" s="84"/>
      <c r="Q3770" s="174"/>
      <c r="R3770" s="177">
        <f>SUM(R3759:R3769)</f>
        <v>7627800</v>
      </c>
      <c r="S3770" s="178">
        <f>SUM(S3759:S3769)</f>
        <v>10366200</v>
      </c>
      <c r="W3770" s="31"/>
      <c r="X3770" s="131"/>
    </row>
    <row r="3771" spans="1:24" ht="14.25" hidden="1" customHeight="1" x14ac:dyDescent="0.25">
      <c r="A3771" s="21">
        <v>1642021</v>
      </c>
      <c r="B3771" s="139" t="s">
        <v>3522</v>
      </c>
      <c r="C3771" s="140"/>
      <c r="D3771" s="141">
        <v>66000000</v>
      </c>
      <c r="E3771" s="141">
        <f>+D3771</f>
        <v>66000000</v>
      </c>
      <c r="F3771" s="141"/>
      <c r="G3771" s="141"/>
      <c r="H3771" s="141"/>
      <c r="I3771" s="141"/>
      <c r="J3771" s="141"/>
      <c r="K3771" s="141"/>
      <c r="L3771" s="141">
        <f>+D3771</f>
        <v>66000000</v>
      </c>
      <c r="M3771" s="142"/>
      <c r="N3771" s="142"/>
      <c r="O3771" s="149">
        <f>+VLOOKUP(A3771,'[1]ANEXO 7 - PPTO VIG 2021'!$H$8:$AB$160,21,)-L3784</f>
        <v>0</v>
      </c>
    </row>
    <row r="3772" spans="1:24" ht="15" hidden="1" x14ac:dyDescent="0.25">
      <c r="B3772" s="89">
        <v>44257.125</v>
      </c>
      <c r="C3772" s="92" t="s">
        <v>3523</v>
      </c>
      <c r="D3772" s="23"/>
      <c r="E3772" s="91">
        <v>600000</v>
      </c>
      <c r="F3772" s="93"/>
      <c r="G3772" s="93">
        <f t="shared" ref="G3772:G3784" si="737">+E3772</f>
        <v>600000</v>
      </c>
      <c r="H3772" s="94"/>
      <c r="I3772" s="94">
        <v>0</v>
      </c>
      <c r="J3772" s="91">
        <v>5135.26</v>
      </c>
      <c r="K3772" s="25">
        <f>+G3772-H3772-I3772-J3772</f>
        <v>594864.74</v>
      </c>
      <c r="L3772" s="95">
        <f t="shared" ref="L3772:L3779" si="738">+L3771-G3772</f>
        <v>65400000</v>
      </c>
      <c r="M3772" s="96"/>
      <c r="N3772" s="96"/>
      <c r="P3772" s="21">
        <v>7773402611</v>
      </c>
      <c r="Q3772" s="97">
        <v>44166</v>
      </c>
      <c r="R3772" s="14">
        <v>260000</v>
      </c>
      <c r="S3772" s="14">
        <v>332800</v>
      </c>
      <c r="T3772" s="3">
        <f>+L3771</f>
        <v>66000000</v>
      </c>
      <c r="U3772" s="3">
        <f>+T3772*40%</f>
        <v>26400000</v>
      </c>
      <c r="V3772" s="197">
        <v>40</v>
      </c>
    </row>
    <row r="3773" spans="1:24" ht="15" hidden="1" x14ac:dyDescent="0.25">
      <c r="B3773" s="89"/>
      <c r="C3773" s="92"/>
      <c r="D3773" s="23"/>
      <c r="E3773" s="91"/>
      <c r="F3773" s="93"/>
      <c r="G3773" s="93"/>
      <c r="H3773" s="94"/>
      <c r="I3773" s="94"/>
      <c r="J3773" s="91"/>
      <c r="K3773" s="25"/>
      <c r="L3773" s="95"/>
      <c r="M3773" s="96"/>
      <c r="N3773" s="96"/>
      <c r="P3773" s="21">
        <v>7780582188</v>
      </c>
      <c r="Q3773" s="97">
        <v>44197</v>
      </c>
      <c r="R3773" s="14">
        <v>145400</v>
      </c>
      <c r="S3773" s="14">
        <v>113600</v>
      </c>
      <c r="U3773" s="3"/>
      <c r="V3773" s="197"/>
    </row>
    <row r="3774" spans="1:24" ht="15" hidden="1" x14ac:dyDescent="0.25">
      <c r="B3774" s="89">
        <v>44257.125</v>
      </c>
      <c r="C3774" s="92" t="s">
        <v>3524</v>
      </c>
      <c r="D3774" s="23"/>
      <c r="E3774" s="91">
        <v>6000000</v>
      </c>
      <c r="F3774" s="93"/>
      <c r="G3774" s="93">
        <f t="shared" si="737"/>
        <v>6000000</v>
      </c>
      <c r="H3774" s="94"/>
      <c r="I3774" s="94">
        <v>100375.1</v>
      </c>
      <c r="J3774" s="91">
        <v>51352.56</v>
      </c>
      <c r="K3774" s="25">
        <f t="shared" ref="K3774:K3784" si="739">+G3774-H3774-I3774-J3774</f>
        <v>5848272.3400000008</v>
      </c>
      <c r="L3774" s="95">
        <f>+L3772-G3774</f>
        <v>59400000</v>
      </c>
      <c r="M3774" s="96"/>
      <c r="N3774" s="96"/>
      <c r="P3774" s="21">
        <v>4378547022</v>
      </c>
      <c r="Q3774" s="97">
        <v>44228</v>
      </c>
      <c r="R3774" s="14">
        <v>300000</v>
      </c>
      <c r="S3774" s="14">
        <v>384000</v>
      </c>
      <c r="U3774" s="3"/>
    </row>
    <row r="3775" spans="1:24" ht="15" hidden="1" x14ac:dyDescent="0.25">
      <c r="B3775" s="89">
        <v>44292.083333333336</v>
      </c>
      <c r="C3775" s="92" t="s">
        <v>3525</v>
      </c>
      <c r="D3775" s="23"/>
      <c r="E3775" s="91">
        <v>6000000</v>
      </c>
      <c r="F3775" s="93"/>
      <c r="G3775" s="93">
        <f t="shared" si="737"/>
        <v>6000000</v>
      </c>
      <c r="H3775" s="94"/>
      <c r="I3775" s="91">
        <v>100375.1</v>
      </c>
      <c r="J3775" s="91">
        <v>51352.56</v>
      </c>
      <c r="K3775" s="25">
        <f t="shared" si="739"/>
        <v>5848272.3400000008</v>
      </c>
      <c r="L3775" s="95">
        <f t="shared" si="738"/>
        <v>53400000</v>
      </c>
      <c r="M3775" s="96"/>
      <c r="N3775" s="96"/>
      <c r="P3775" s="21">
        <v>7784160148</v>
      </c>
      <c r="Q3775" s="97">
        <v>44256</v>
      </c>
      <c r="R3775" s="14">
        <v>300000</v>
      </c>
      <c r="S3775" s="14">
        <v>384000</v>
      </c>
      <c r="U3775" s="3">
        <f>+U3772*12.5%</f>
        <v>3300000</v>
      </c>
      <c r="V3775" s="172" t="s">
        <v>2769</v>
      </c>
    </row>
    <row r="3776" spans="1:24" ht="15" hidden="1" x14ac:dyDescent="0.25">
      <c r="B3776" s="89">
        <v>44321.083333333336</v>
      </c>
      <c r="C3776" s="92" t="s">
        <v>3526</v>
      </c>
      <c r="D3776" s="23"/>
      <c r="E3776" s="91">
        <v>6000000</v>
      </c>
      <c r="F3776" s="93"/>
      <c r="G3776" s="93">
        <f t="shared" si="737"/>
        <v>6000000</v>
      </c>
      <c r="H3776" s="94"/>
      <c r="I3776" s="94">
        <v>100375.1</v>
      </c>
      <c r="J3776" s="91">
        <v>51352.56</v>
      </c>
      <c r="K3776" s="25">
        <f t="shared" si="739"/>
        <v>5848272.3400000008</v>
      </c>
      <c r="L3776" s="95">
        <f t="shared" si="738"/>
        <v>47400000</v>
      </c>
      <c r="M3776" s="20">
        <v>6000000</v>
      </c>
      <c r="N3776" s="20">
        <f>+G3776-M3776</f>
        <v>0</v>
      </c>
      <c r="P3776" s="55">
        <v>7784161365</v>
      </c>
      <c r="Q3776" s="97">
        <v>44287</v>
      </c>
      <c r="R3776" s="14">
        <v>300000</v>
      </c>
      <c r="S3776" s="14">
        <v>384000</v>
      </c>
      <c r="U3776" s="3">
        <f>+U3772*16%</f>
        <v>4224000</v>
      </c>
      <c r="V3776" s="173" t="s">
        <v>2771</v>
      </c>
    </row>
    <row r="3777" spans="1:24" ht="15" hidden="1" x14ac:dyDescent="0.25">
      <c r="B3777" s="89">
        <v>44349.083333333336</v>
      </c>
      <c r="C3777" s="92" t="s">
        <v>3527</v>
      </c>
      <c r="D3777" s="23"/>
      <c r="E3777" s="91">
        <v>6000000</v>
      </c>
      <c r="F3777" s="93"/>
      <c r="G3777" s="93">
        <f t="shared" si="737"/>
        <v>6000000</v>
      </c>
      <c r="H3777" s="94"/>
      <c r="I3777" s="94">
        <v>100375.1</v>
      </c>
      <c r="J3777" s="91">
        <v>51352.56</v>
      </c>
      <c r="K3777" s="25">
        <f t="shared" si="739"/>
        <v>5848272.3400000008</v>
      </c>
      <c r="L3777" s="95">
        <f t="shared" si="738"/>
        <v>41400000</v>
      </c>
      <c r="M3777" s="20"/>
      <c r="N3777" s="20"/>
      <c r="P3777" s="55">
        <v>7787828441</v>
      </c>
      <c r="Q3777" s="97">
        <v>44317</v>
      </c>
      <c r="R3777" s="14">
        <v>300000</v>
      </c>
      <c r="S3777" s="14">
        <v>384000</v>
      </c>
    </row>
    <row r="3778" spans="1:24" ht="15" hidden="1" x14ac:dyDescent="0.25">
      <c r="B3778" s="89">
        <v>44383.083333333336</v>
      </c>
      <c r="C3778" s="92" t="s">
        <v>3528</v>
      </c>
      <c r="D3778" s="23"/>
      <c r="E3778" s="91">
        <v>6000000</v>
      </c>
      <c r="F3778" s="93"/>
      <c r="G3778" s="93">
        <f t="shared" si="737"/>
        <v>6000000</v>
      </c>
      <c r="H3778" s="94"/>
      <c r="I3778" s="94">
        <v>100375.1</v>
      </c>
      <c r="J3778" s="91">
        <v>51352.56</v>
      </c>
      <c r="K3778" s="25">
        <f t="shared" si="739"/>
        <v>5848272.3400000008</v>
      </c>
      <c r="L3778" s="95">
        <f t="shared" si="738"/>
        <v>35400000</v>
      </c>
      <c r="M3778" s="20"/>
      <c r="N3778" s="20"/>
      <c r="P3778" s="84">
        <v>7791090872</v>
      </c>
      <c r="Q3778" s="124">
        <v>44348</v>
      </c>
      <c r="R3778" s="14">
        <v>300000</v>
      </c>
      <c r="S3778" s="14">
        <v>384000</v>
      </c>
      <c r="U3778" s="179"/>
    </row>
    <row r="3779" spans="1:24" ht="15" hidden="1" x14ac:dyDescent="0.25">
      <c r="B3779" s="89">
        <v>44411.083333333336</v>
      </c>
      <c r="C3779" s="92" t="s">
        <v>3529</v>
      </c>
      <c r="D3779" s="23"/>
      <c r="E3779" s="91">
        <v>6000000</v>
      </c>
      <c r="F3779" s="93"/>
      <c r="G3779" s="93">
        <f t="shared" si="737"/>
        <v>6000000</v>
      </c>
      <c r="H3779" s="94"/>
      <c r="I3779" s="94">
        <v>100375.1</v>
      </c>
      <c r="J3779" s="91">
        <v>51352.56</v>
      </c>
      <c r="K3779" s="25">
        <f t="shared" si="739"/>
        <v>5848272.3400000008</v>
      </c>
      <c r="L3779" s="95">
        <f t="shared" si="738"/>
        <v>29400000</v>
      </c>
      <c r="M3779" s="20"/>
      <c r="N3779" s="20"/>
      <c r="P3779" s="84">
        <v>7802049805</v>
      </c>
      <c r="Q3779" s="124">
        <v>44378</v>
      </c>
      <c r="R3779" s="14">
        <v>300000</v>
      </c>
      <c r="S3779" s="14">
        <v>384000</v>
      </c>
      <c r="U3779" s="179"/>
      <c r="W3779" s="31">
        <v>6000000</v>
      </c>
      <c r="X3779" s="131">
        <f>+E3779-W3779</f>
        <v>0</v>
      </c>
    </row>
    <row r="3780" spans="1:24" ht="15" hidden="1" x14ac:dyDescent="0.25">
      <c r="B3780" s="89">
        <v>44441.083333333336</v>
      </c>
      <c r="C3780" s="92" t="s">
        <v>3530</v>
      </c>
      <c r="D3780" s="23"/>
      <c r="E3780" s="91">
        <v>6000000</v>
      </c>
      <c r="F3780" s="93"/>
      <c r="G3780" s="93">
        <f t="shared" si="737"/>
        <v>6000000</v>
      </c>
      <c r="H3780" s="94"/>
      <c r="I3780" s="94">
        <v>100375.1</v>
      </c>
      <c r="J3780" s="91">
        <v>51352.56</v>
      </c>
      <c r="K3780" s="25">
        <f t="shared" si="739"/>
        <v>5848272.3400000008</v>
      </c>
      <c r="L3780" s="95">
        <f>+L3779-G3780</f>
        <v>23400000</v>
      </c>
      <c r="M3780" s="20"/>
      <c r="N3780" s="20"/>
      <c r="P3780" s="84">
        <v>7805187931</v>
      </c>
      <c r="Q3780" s="124">
        <v>44409</v>
      </c>
      <c r="R3780" s="14">
        <v>300000</v>
      </c>
      <c r="S3780" s="14">
        <v>384000</v>
      </c>
      <c r="W3780" s="31"/>
      <c r="X3780" s="131"/>
    </row>
    <row r="3781" spans="1:24" ht="15" hidden="1" x14ac:dyDescent="0.25">
      <c r="B3781" s="89">
        <v>44474.083333333336</v>
      </c>
      <c r="C3781" s="92" t="s">
        <v>3531</v>
      </c>
      <c r="D3781" s="23"/>
      <c r="E3781" s="91">
        <v>6000000</v>
      </c>
      <c r="F3781" s="93"/>
      <c r="G3781" s="93">
        <f t="shared" si="737"/>
        <v>6000000</v>
      </c>
      <c r="H3781" s="94"/>
      <c r="I3781" s="94">
        <v>100375.1</v>
      </c>
      <c r="J3781" s="91">
        <v>51352.56</v>
      </c>
      <c r="K3781" s="25">
        <f t="shared" si="739"/>
        <v>5848272.3400000008</v>
      </c>
      <c r="L3781" s="95">
        <f>+L3780-G3781</f>
        <v>17400000</v>
      </c>
      <c r="M3781" s="20"/>
      <c r="N3781" s="20"/>
      <c r="P3781" s="84">
        <v>7808142890</v>
      </c>
      <c r="Q3781" s="124">
        <v>44440</v>
      </c>
      <c r="R3781" s="14">
        <v>300000</v>
      </c>
      <c r="S3781" s="14">
        <v>384000</v>
      </c>
      <c r="W3781" s="31"/>
      <c r="X3781" s="131"/>
    </row>
    <row r="3782" spans="1:24" ht="15" hidden="1" x14ac:dyDescent="0.25">
      <c r="B3782" s="89">
        <v>44504.083333333336</v>
      </c>
      <c r="C3782" s="92" t="s">
        <v>3532</v>
      </c>
      <c r="D3782" s="23"/>
      <c r="E3782" s="91">
        <v>6000000</v>
      </c>
      <c r="F3782" s="93"/>
      <c r="G3782" s="93">
        <f t="shared" si="737"/>
        <v>6000000</v>
      </c>
      <c r="H3782" s="94"/>
      <c r="I3782" s="94">
        <v>100375.1</v>
      </c>
      <c r="J3782" s="91">
        <v>51352.56</v>
      </c>
      <c r="K3782" s="25">
        <f t="shared" si="739"/>
        <v>5848272.3400000008</v>
      </c>
      <c r="L3782" s="95">
        <f>+L3781-G3782</f>
        <v>11400000</v>
      </c>
      <c r="M3782" s="20"/>
      <c r="N3782" s="20"/>
      <c r="P3782" s="84">
        <v>7811435033</v>
      </c>
      <c r="Q3782" s="124">
        <v>44470</v>
      </c>
      <c r="R3782" s="125">
        <v>300000</v>
      </c>
      <c r="S3782" s="125">
        <v>384000</v>
      </c>
      <c r="W3782" s="31"/>
      <c r="X3782" s="131"/>
    </row>
    <row r="3783" spans="1:24" ht="15" hidden="1" x14ac:dyDescent="0.25">
      <c r="B3783" s="89">
        <v>44539.125</v>
      </c>
      <c r="C3783" s="92" t="s">
        <v>3533</v>
      </c>
      <c r="D3783" s="23"/>
      <c r="E3783" s="91">
        <v>6000000</v>
      </c>
      <c r="F3783" s="93"/>
      <c r="G3783" s="93">
        <f t="shared" si="737"/>
        <v>6000000</v>
      </c>
      <c r="H3783" s="94"/>
      <c r="I3783" s="94">
        <v>100375.1</v>
      </c>
      <c r="J3783" s="91">
        <v>51352.56</v>
      </c>
      <c r="K3783" s="25">
        <f t="shared" si="739"/>
        <v>5848272.3400000008</v>
      </c>
      <c r="L3783" s="95">
        <f>+L3782-G3783</f>
        <v>5400000</v>
      </c>
      <c r="M3783" s="20"/>
      <c r="N3783" s="20"/>
      <c r="P3783" s="84">
        <v>7815186674</v>
      </c>
      <c r="Q3783" s="124">
        <v>44501</v>
      </c>
      <c r="R3783" s="125">
        <v>300000</v>
      </c>
      <c r="S3783" s="125">
        <v>384000</v>
      </c>
      <c r="W3783" s="31"/>
      <c r="X3783" s="131"/>
    </row>
    <row r="3784" spans="1:24" ht="15" hidden="1" x14ac:dyDescent="0.25">
      <c r="B3784" s="89">
        <v>44557.125</v>
      </c>
      <c r="C3784" s="92" t="s">
        <v>3534</v>
      </c>
      <c r="D3784" s="23"/>
      <c r="E3784" s="91">
        <v>5400000</v>
      </c>
      <c r="F3784" s="93"/>
      <c r="G3784" s="93">
        <f t="shared" si="737"/>
        <v>5400000</v>
      </c>
      <c r="H3784" s="94"/>
      <c r="I3784" s="94">
        <v>114140.59</v>
      </c>
      <c r="J3784" s="91">
        <v>52164</v>
      </c>
      <c r="K3784" s="25">
        <f t="shared" si="739"/>
        <v>5233695.41</v>
      </c>
      <c r="L3784" s="95">
        <f>+L3783-G3784</f>
        <v>0</v>
      </c>
      <c r="M3784" s="20"/>
      <c r="N3784" s="20"/>
      <c r="P3784" s="84"/>
      <c r="Q3784" s="124"/>
      <c r="R3784" s="177">
        <f>SUM(R3772:R3783)</f>
        <v>3405400</v>
      </c>
      <c r="S3784" s="178">
        <f>SUM(S3772:S3783)</f>
        <v>4286400</v>
      </c>
      <c r="W3784" s="31"/>
      <c r="X3784" s="131"/>
    </row>
    <row r="3785" spans="1:24" ht="15" hidden="1" x14ac:dyDescent="0.25">
      <c r="B3785" s="89"/>
      <c r="C3785" s="92"/>
      <c r="D3785" s="23"/>
      <c r="E3785" s="91"/>
      <c r="F3785" s="93"/>
      <c r="G3785" s="93"/>
      <c r="H3785" s="94"/>
      <c r="I3785" s="94"/>
      <c r="J3785" s="91"/>
      <c r="K3785" s="25"/>
      <c r="L3785" s="95"/>
      <c r="M3785" s="20"/>
      <c r="N3785" s="20"/>
      <c r="P3785" s="84"/>
      <c r="Q3785" s="124"/>
      <c r="R3785" s="125"/>
      <c r="S3785" s="125"/>
      <c r="W3785" s="31"/>
      <c r="X3785" s="131"/>
    </row>
    <row r="3786" spans="1:24" ht="15" hidden="1" x14ac:dyDescent="0.25">
      <c r="B3786" s="139" t="s">
        <v>3535</v>
      </c>
      <c r="C3786" s="140"/>
      <c r="D3786" s="141">
        <v>96305000</v>
      </c>
      <c r="E3786" s="141">
        <f>+D3786</f>
        <v>96305000</v>
      </c>
      <c r="F3786" s="141"/>
      <c r="G3786" s="141"/>
      <c r="H3786" s="141"/>
      <c r="I3786" s="141"/>
      <c r="J3786" s="141"/>
      <c r="K3786" s="141"/>
      <c r="L3786" s="141">
        <f>+D3786</f>
        <v>96305000</v>
      </c>
      <c r="M3786" s="142"/>
      <c r="N3786" s="142"/>
      <c r="O3786" s="130">
        <f>+L3790-'[1]ANEXO 7 - PPTO VIG 2021'!AB63</f>
        <v>0</v>
      </c>
    </row>
    <row r="3787" spans="1:24" ht="15" hidden="1" x14ac:dyDescent="0.25">
      <c r="B3787" s="89">
        <v>44257.125</v>
      </c>
      <c r="C3787" s="92" t="s">
        <v>3536</v>
      </c>
      <c r="D3787" s="23"/>
      <c r="E3787" s="91">
        <v>8755000</v>
      </c>
      <c r="F3787" s="93"/>
      <c r="G3787" s="93">
        <f>+E3787</f>
        <v>8755000</v>
      </c>
      <c r="H3787" s="94"/>
      <c r="I3787" s="94">
        <v>322565.36</v>
      </c>
      <c r="J3787" s="91">
        <v>74931.94</v>
      </c>
      <c r="K3787" s="25">
        <f>+G3787-H3787-I3787-J3787</f>
        <v>8357502.7000000002</v>
      </c>
      <c r="L3787" s="95">
        <f>+L3786-G3787</f>
        <v>87550000</v>
      </c>
      <c r="M3787" s="96"/>
      <c r="N3787" s="96"/>
    </row>
    <row r="3788" spans="1:24" ht="15" hidden="1" x14ac:dyDescent="0.25">
      <c r="B3788" s="89">
        <v>44293.083333333336</v>
      </c>
      <c r="C3788" s="92" t="s">
        <v>3537</v>
      </c>
      <c r="D3788" s="23"/>
      <c r="E3788" s="91">
        <v>8755000</v>
      </c>
      <c r="F3788" s="93"/>
      <c r="G3788" s="93">
        <f>+E3788</f>
        <v>8755000</v>
      </c>
      <c r="H3788" s="94"/>
      <c r="I3788" s="91">
        <v>322565.36</v>
      </c>
      <c r="J3788" s="91">
        <v>74931.94</v>
      </c>
      <c r="K3788" s="25">
        <f>+G3788-H3788-I3788-J3788</f>
        <v>8357502.7000000002</v>
      </c>
      <c r="L3788" s="95">
        <f>+L3787-G3788</f>
        <v>78795000</v>
      </c>
      <c r="M3788" s="96"/>
      <c r="N3788" s="96"/>
      <c r="P3788" s="55">
        <v>9417857987</v>
      </c>
      <c r="Q3788" s="127">
        <v>44256</v>
      </c>
      <c r="R3788" s="14">
        <v>450000</v>
      </c>
      <c r="S3788" s="14">
        <v>576000</v>
      </c>
    </row>
    <row r="3789" spans="1:24" ht="15" hidden="1" x14ac:dyDescent="0.25">
      <c r="B3789" s="89">
        <v>44329.083333333336</v>
      </c>
      <c r="C3789" s="92" t="s">
        <v>3538</v>
      </c>
      <c r="D3789" s="23"/>
      <c r="E3789" s="91">
        <v>8755000</v>
      </c>
      <c r="F3789" s="93"/>
      <c r="G3789" s="93">
        <f>+E3789</f>
        <v>8755000</v>
      </c>
      <c r="H3789" s="94"/>
      <c r="I3789" s="94">
        <v>228930.62</v>
      </c>
      <c r="J3789" s="91">
        <v>74931.94</v>
      </c>
      <c r="K3789" s="25">
        <f>+G3789-H3789-I3789-J3789</f>
        <v>8451137.4400000013</v>
      </c>
      <c r="L3789" s="95">
        <f>+L3788-G3789</f>
        <v>70040000</v>
      </c>
      <c r="M3789" s="20">
        <v>8755000</v>
      </c>
      <c r="N3789" s="20">
        <f>+G3789-M3789</f>
        <v>0</v>
      </c>
      <c r="P3789" s="55">
        <v>9418809263</v>
      </c>
      <c r="Q3789" s="127">
        <v>44287</v>
      </c>
      <c r="R3789" s="14">
        <v>450000</v>
      </c>
      <c r="S3789" s="14">
        <v>576000</v>
      </c>
    </row>
    <row r="3790" spans="1:24" ht="15" hidden="1" x14ac:dyDescent="0.25">
      <c r="B3790" s="89">
        <v>44329.083333333336</v>
      </c>
      <c r="C3790" s="92" t="s">
        <v>2047</v>
      </c>
      <c r="D3790" s="23"/>
      <c r="E3790" s="91"/>
      <c r="F3790" s="93"/>
      <c r="G3790" s="93"/>
      <c r="H3790" s="94"/>
      <c r="I3790" s="94"/>
      <c r="J3790" s="91"/>
      <c r="K3790" s="25"/>
      <c r="L3790" s="95">
        <v>0</v>
      </c>
      <c r="M3790" s="20"/>
      <c r="N3790" s="20"/>
      <c r="P3790" s="84"/>
      <c r="Q3790" s="174"/>
      <c r="R3790" s="125"/>
      <c r="S3790" s="125"/>
    </row>
    <row r="3791" spans="1:24" ht="15" hidden="1" x14ac:dyDescent="0.25">
      <c r="A3791" s="21">
        <v>2902021</v>
      </c>
      <c r="B3791" s="139" t="s">
        <v>3539</v>
      </c>
      <c r="C3791" s="140"/>
      <c r="D3791" s="141">
        <v>68556800</v>
      </c>
      <c r="E3791" s="141">
        <f>+D3791</f>
        <v>68556800</v>
      </c>
      <c r="F3791" s="141"/>
      <c r="G3791" s="141"/>
      <c r="H3791" s="141"/>
      <c r="I3791" s="141"/>
      <c r="J3791" s="141"/>
      <c r="K3791" s="141"/>
      <c r="L3791" s="141">
        <f>+D3791</f>
        <v>68556800</v>
      </c>
      <c r="M3791" s="142"/>
      <c r="N3791" s="142"/>
      <c r="O3791" s="149">
        <f>+VLOOKUP(A3791,'[1]ANEXO 7 - PPTO VIG 2021'!$H$8:$AB$160,21,)-L3802</f>
        <v>-1928160</v>
      </c>
    </row>
    <row r="3792" spans="1:24" ht="15" hidden="1" x14ac:dyDescent="0.25">
      <c r="B3792" s="89">
        <v>44278.083333333336</v>
      </c>
      <c r="C3792" s="92" t="s">
        <v>3540</v>
      </c>
      <c r="D3792" s="23"/>
      <c r="E3792" s="91">
        <v>2356640</v>
      </c>
      <c r="F3792" s="93"/>
      <c r="G3792" s="93">
        <f t="shared" ref="G3792:G3802" si="740">+E3792</f>
        <v>2356640</v>
      </c>
      <c r="H3792" s="94"/>
      <c r="I3792" s="94">
        <v>0</v>
      </c>
      <c r="J3792" s="91">
        <v>21626.89</v>
      </c>
      <c r="K3792" s="25">
        <f t="shared" ref="K3792:K3802" si="741">+G3792-H3792-I3792-J3792</f>
        <v>2335013.11</v>
      </c>
      <c r="L3792" s="95">
        <f t="shared" ref="L3792:L3797" si="742">+L3791-G3792</f>
        <v>66200160</v>
      </c>
      <c r="M3792" s="96"/>
      <c r="N3792" s="96"/>
      <c r="P3792" s="21">
        <v>49200411</v>
      </c>
      <c r="Q3792" s="127">
        <v>44228</v>
      </c>
      <c r="R3792" s="14">
        <v>118400</v>
      </c>
      <c r="T3792" s="3">
        <f>+L3791-1928160</f>
        <v>66628640</v>
      </c>
      <c r="U3792" s="3">
        <f>+T3792*40%</f>
        <v>26651456</v>
      </c>
    </row>
    <row r="3793" spans="1:24" ht="15" hidden="1" x14ac:dyDescent="0.25">
      <c r="B3793" s="89">
        <v>44295.083333333336</v>
      </c>
      <c r="C3793" s="92" t="s">
        <v>3541</v>
      </c>
      <c r="D3793" s="23"/>
      <c r="E3793" s="91">
        <v>6427200</v>
      </c>
      <c r="F3793" s="93"/>
      <c r="G3793" s="93">
        <f t="shared" si="740"/>
        <v>6427200</v>
      </c>
      <c r="H3793" s="94"/>
      <c r="I3793" s="91">
        <v>212799.05</v>
      </c>
      <c r="J3793" s="91">
        <v>58982.41</v>
      </c>
      <c r="K3793" s="25">
        <f t="shared" si="741"/>
        <v>6155418.54</v>
      </c>
      <c r="L3793" s="95">
        <f t="shared" si="742"/>
        <v>59772960</v>
      </c>
      <c r="M3793" s="96"/>
      <c r="N3793" s="96"/>
      <c r="P3793" s="55">
        <v>49200488</v>
      </c>
      <c r="Q3793" s="127">
        <v>44256</v>
      </c>
      <c r="R3793" s="14">
        <v>321400</v>
      </c>
      <c r="S3793" s="14">
        <v>0</v>
      </c>
      <c r="U3793" s="3"/>
    </row>
    <row r="3794" spans="1:24" ht="15" hidden="1" x14ac:dyDescent="0.25">
      <c r="B3794" s="89">
        <v>44322.083333333336</v>
      </c>
      <c r="C3794" s="92" t="s">
        <v>3542</v>
      </c>
      <c r="D3794" s="23"/>
      <c r="E3794" s="91">
        <v>6427200</v>
      </c>
      <c r="F3794" s="93"/>
      <c r="G3794" s="93">
        <f t="shared" si="740"/>
        <v>6427200</v>
      </c>
      <c r="H3794" s="94"/>
      <c r="I3794" s="94">
        <v>212799.05</v>
      </c>
      <c r="J3794" s="91">
        <v>58982.41</v>
      </c>
      <c r="K3794" s="25">
        <f t="shared" si="741"/>
        <v>6155418.54</v>
      </c>
      <c r="L3794" s="95">
        <f t="shared" si="742"/>
        <v>53345760</v>
      </c>
      <c r="M3794" s="20">
        <v>6427200</v>
      </c>
      <c r="N3794" s="20">
        <f>+G3794-M3794</f>
        <v>0</v>
      </c>
      <c r="P3794" s="55">
        <v>50009742</v>
      </c>
      <c r="Q3794" s="127">
        <v>44287</v>
      </c>
      <c r="R3794" s="14">
        <v>321400</v>
      </c>
      <c r="S3794" s="14">
        <v>0</v>
      </c>
      <c r="U3794" s="99">
        <f>+U3792*12.5%</f>
        <v>3331432</v>
      </c>
    </row>
    <row r="3795" spans="1:24" ht="15" hidden="1" x14ac:dyDescent="0.25">
      <c r="B3795" s="89">
        <v>44355.083333333336</v>
      </c>
      <c r="C3795" s="92" t="s">
        <v>3543</v>
      </c>
      <c r="D3795" s="23"/>
      <c r="E3795" s="91">
        <v>6427200</v>
      </c>
      <c r="F3795" s="93"/>
      <c r="G3795" s="93">
        <f t="shared" si="740"/>
        <v>6427200</v>
      </c>
      <c r="H3795" s="94"/>
      <c r="I3795" s="94">
        <v>212799.05</v>
      </c>
      <c r="J3795" s="91">
        <v>58982.41</v>
      </c>
      <c r="K3795" s="25">
        <f t="shared" si="741"/>
        <v>6155418.54</v>
      </c>
      <c r="L3795" s="95">
        <f t="shared" si="742"/>
        <v>46918560</v>
      </c>
      <c r="M3795" s="20"/>
      <c r="N3795" s="20"/>
      <c r="P3795" s="84">
        <v>50654663</v>
      </c>
      <c r="Q3795" s="174">
        <v>44317</v>
      </c>
      <c r="R3795" s="125">
        <v>377000</v>
      </c>
      <c r="S3795" s="125"/>
    </row>
    <row r="3796" spans="1:24" ht="15" hidden="1" x14ac:dyDescent="0.25">
      <c r="B3796" s="89">
        <v>44379.083333333336</v>
      </c>
      <c r="C3796" s="92" t="s">
        <v>3544</v>
      </c>
      <c r="D3796" s="23"/>
      <c r="E3796" s="91">
        <v>6427200</v>
      </c>
      <c r="F3796" s="93"/>
      <c r="G3796" s="93">
        <f t="shared" si="740"/>
        <v>6427200</v>
      </c>
      <c r="H3796" s="94"/>
      <c r="I3796" s="94">
        <v>212799.05</v>
      </c>
      <c r="J3796" s="91">
        <v>58982.41</v>
      </c>
      <c r="K3796" s="25">
        <f t="shared" si="741"/>
        <v>6155418.54</v>
      </c>
      <c r="L3796" s="95">
        <f t="shared" si="742"/>
        <v>40491360</v>
      </c>
      <c r="M3796" s="20"/>
      <c r="N3796" s="20"/>
      <c r="P3796" s="84">
        <v>51339776</v>
      </c>
      <c r="Q3796" s="174">
        <v>44348</v>
      </c>
      <c r="R3796" s="125">
        <v>377000</v>
      </c>
      <c r="S3796" s="125"/>
    </row>
    <row r="3797" spans="1:24" ht="15" hidden="1" x14ac:dyDescent="0.25">
      <c r="B3797" s="89">
        <v>44419.083333333336</v>
      </c>
      <c r="C3797" s="92" t="s">
        <v>3545</v>
      </c>
      <c r="D3797" s="23"/>
      <c r="E3797" s="91">
        <v>6427200</v>
      </c>
      <c r="F3797" s="93"/>
      <c r="G3797" s="93">
        <f t="shared" si="740"/>
        <v>6427200</v>
      </c>
      <c r="H3797" s="94"/>
      <c r="I3797" s="94">
        <v>212799.05</v>
      </c>
      <c r="J3797" s="91">
        <v>58982.41</v>
      </c>
      <c r="K3797" s="25">
        <f t="shared" si="741"/>
        <v>6155418.54</v>
      </c>
      <c r="L3797" s="95">
        <f t="shared" si="742"/>
        <v>34064160</v>
      </c>
      <c r="M3797" s="20"/>
      <c r="N3797" s="20"/>
      <c r="P3797" s="84">
        <v>1071884945</v>
      </c>
      <c r="Q3797" s="174">
        <v>44378</v>
      </c>
      <c r="R3797" s="125">
        <v>377000</v>
      </c>
      <c r="S3797" s="125"/>
      <c r="W3797" s="31">
        <v>6427200</v>
      </c>
      <c r="X3797" s="131">
        <f>+E3797-W3797</f>
        <v>0</v>
      </c>
    </row>
    <row r="3798" spans="1:24" ht="15" hidden="1" x14ac:dyDescent="0.25">
      <c r="B3798" s="89">
        <v>44441.083333333336</v>
      </c>
      <c r="C3798" s="92" t="s">
        <v>3546</v>
      </c>
      <c r="D3798" s="23"/>
      <c r="E3798" s="91">
        <v>6427200</v>
      </c>
      <c r="F3798" s="93"/>
      <c r="G3798" s="93">
        <f t="shared" si="740"/>
        <v>6427200</v>
      </c>
      <c r="H3798" s="94"/>
      <c r="I3798" s="94">
        <v>212799.05</v>
      </c>
      <c r="J3798" s="91">
        <v>58982.41</v>
      </c>
      <c r="K3798" s="25">
        <f t="shared" si="741"/>
        <v>6155418.54</v>
      </c>
      <c r="L3798" s="95">
        <f>+L3797-G3798</f>
        <v>27636960</v>
      </c>
      <c r="M3798" s="20"/>
      <c r="N3798" s="20"/>
      <c r="P3798" s="84">
        <v>52698035</v>
      </c>
      <c r="Q3798" s="174">
        <v>44409</v>
      </c>
      <c r="R3798" s="125">
        <v>377000</v>
      </c>
      <c r="S3798" s="125"/>
      <c r="W3798" s="31"/>
      <c r="X3798" s="131"/>
    </row>
    <row r="3799" spans="1:24" ht="15" hidden="1" x14ac:dyDescent="0.25">
      <c r="B3799" s="89">
        <v>44474.083333333336</v>
      </c>
      <c r="C3799" s="92" t="s">
        <v>3547</v>
      </c>
      <c r="D3799" s="23"/>
      <c r="E3799" s="91">
        <v>6427200</v>
      </c>
      <c r="F3799" s="93"/>
      <c r="G3799" s="93">
        <f t="shared" si="740"/>
        <v>6427200</v>
      </c>
      <c r="H3799" s="94"/>
      <c r="I3799" s="94">
        <v>212799.05</v>
      </c>
      <c r="J3799" s="91">
        <v>58982.41</v>
      </c>
      <c r="K3799" s="25">
        <f t="shared" si="741"/>
        <v>6155418.54</v>
      </c>
      <c r="L3799" s="95">
        <f>+L3798-G3799</f>
        <v>21209760</v>
      </c>
      <c r="M3799" s="20"/>
      <c r="N3799" s="20"/>
      <c r="P3799" s="84">
        <v>53388419</v>
      </c>
      <c r="Q3799" s="174">
        <v>44440</v>
      </c>
      <c r="R3799" s="125">
        <v>377000</v>
      </c>
      <c r="S3799" s="125"/>
      <c r="W3799" s="31"/>
      <c r="X3799" s="131"/>
    </row>
    <row r="3800" spans="1:24" ht="15" hidden="1" x14ac:dyDescent="0.25">
      <c r="B3800" s="89">
        <v>44503.083333333336</v>
      </c>
      <c r="C3800" s="92" t="s">
        <v>3548</v>
      </c>
      <c r="D3800" s="23"/>
      <c r="E3800" s="91">
        <v>6427200</v>
      </c>
      <c r="F3800" s="93"/>
      <c r="G3800" s="93">
        <f t="shared" si="740"/>
        <v>6427200</v>
      </c>
      <c r="H3800" s="94"/>
      <c r="I3800" s="94">
        <v>212799.05</v>
      </c>
      <c r="J3800" s="91">
        <v>58982.41</v>
      </c>
      <c r="K3800" s="25">
        <f t="shared" si="741"/>
        <v>6155418.54</v>
      </c>
      <c r="L3800" s="95">
        <f>+L3799-G3800</f>
        <v>14782560</v>
      </c>
      <c r="M3800" s="20"/>
      <c r="N3800" s="20"/>
      <c r="P3800" s="84">
        <v>5403795</v>
      </c>
      <c r="Q3800" s="174">
        <v>44470</v>
      </c>
      <c r="R3800" s="125">
        <v>377000</v>
      </c>
      <c r="S3800" s="125"/>
      <c r="W3800" s="31"/>
      <c r="X3800" s="131"/>
    </row>
    <row r="3801" spans="1:24" ht="15" hidden="1" x14ac:dyDescent="0.25">
      <c r="B3801" s="89">
        <v>44536.125</v>
      </c>
      <c r="C3801" s="92" t="s">
        <v>3549</v>
      </c>
      <c r="D3801" s="23"/>
      <c r="E3801" s="91">
        <v>6427200</v>
      </c>
      <c r="F3801" s="93"/>
      <c r="G3801" s="93">
        <f t="shared" si="740"/>
        <v>6427200</v>
      </c>
      <c r="H3801" s="94"/>
      <c r="I3801" s="94">
        <v>212799.05</v>
      </c>
      <c r="J3801" s="91">
        <v>58982.41</v>
      </c>
      <c r="K3801" s="25">
        <f t="shared" si="741"/>
        <v>6155418.54</v>
      </c>
      <c r="L3801" s="95">
        <f>+L3800-G3801</f>
        <v>8355360</v>
      </c>
      <c r="M3801" s="20"/>
      <c r="N3801" s="20"/>
      <c r="P3801" s="84">
        <v>5473904</v>
      </c>
      <c r="Q3801" s="174">
        <v>44501</v>
      </c>
      <c r="R3801" s="125">
        <v>377000</v>
      </c>
      <c r="S3801" s="125"/>
      <c r="W3801" s="31"/>
      <c r="X3801" s="131"/>
    </row>
    <row r="3802" spans="1:24" ht="15" hidden="1" x14ac:dyDescent="0.25">
      <c r="B3802" s="89">
        <v>44554.125</v>
      </c>
      <c r="C3802" s="92" t="s">
        <v>3550</v>
      </c>
      <c r="D3802" s="23"/>
      <c r="E3802" s="91">
        <v>6427200</v>
      </c>
      <c r="F3802" s="93"/>
      <c r="G3802" s="93">
        <f t="shared" si="740"/>
        <v>6427200</v>
      </c>
      <c r="H3802" s="94"/>
      <c r="I3802" s="94">
        <v>212799.05</v>
      </c>
      <c r="J3802" s="91">
        <v>58982.41</v>
      </c>
      <c r="K3802" s="25">
        <f t="shared" si="741"/>
        <v>6155418.54</v>
      </c>
      <c r="L3802" s="95">
        <f>+L3801-G3802</f>
        <v>1928160</v>
      </c>
      <c r="M3802" s="20"/>
      <c r="N3802" s="20"/>
      <c r="P3802" s="84">
        <v>55319671</v>
      </c>
      <c r="Q3802" s="174">
        <v>44531</v>
      </c>
      <c r="R3802" s="125">
        <v>377000</v>
      </c>
      <c r="S3802" s="125"/>
      <c r="W3802" s="31"/>
      <c r="X3802" s="131"/>
    </row>
    <row r="3803" spans="1:24" ht="15" hidden="1" x14ac:dyDescent="0.25">
      <c r="B3803" s="89"/>
      <c r="C3803" s="92"/>
      <c r="D3803" s="23"/>
      <c r="E3803" s="91"/>
      <c r="F3803" s="93"/>
      <c r="G3803" s="93"/>
      <c r="H3803" s="94"/>
      <c r="I3803" s="94"/>
      <c r="J3803" s="91"/>
      <c r="K3803" s="25"/>
      <c r="L3803" s="95"/>
      <c r="M3803" s="20"/>
      <c r="N3803" s="20"/>
      <c r="P3803" s="84"/>
      <c r="Q3803" s="174"/>
      <c r="R3803" s="178">
        <f>SUM(R3792:R3802)</f>
        <v>3777200</v>
      </c>
      <c r="S3803" s="125"/>
      <c r="W3803" s="31"/>
      <c r="X3803" s="131"/>
    </row>
    <row r="3804" spans="1:24" ht="15" hidden="1" x14ac:dyDescent="0.25">
      <c r="B3804" s="89"/>
      <c r="C3804" s="92"/>
      <c r="D3804" s="23"/>
      <c r="E3804" s="91"/>
      <c r="F3804" s="93"/>
      <c r="G3804" s="93"/>
      <c r="H3804" s="94"/>
      <c r="I3804" s="94"/>
      <c r="J3804" s="91"/>
      <c r="K3804" s="25"/>
      <c r="L3804" s="95"/>
      <c r="M3804" s="20"/>
      <c r="N3804" s="20"/>
      <c r="P3804" s="84"/>
      <c r="Q3804" s="174"/>
      <c r="R3804" s="125"/>
      <c r="S3804" s="125"/>
      <c r="W3804" s="31"/>
      <c r="X3804" s="131"/>
    </row>
    <row r="3805" spans="1:24" ht="15" hidden="1" x14ac:dyDescent="0.25">
      <c r="A3805" s="21">
        <v>2592021</v>
      </c>
      <c r="B3805" s="139" t="s">
        <v>3551</v>
      </c>
      <c r="C3805" s="140"/>
      <c r="D3805" s="141">
        <v>68556800</v>
      </c>
      <c r="E3805" s="141">
        <f>+D3805</f>
        <v>68556800</v>
      </c>
      <c r="F3805" s="141"/>
      <c r="G3805" s="141"/>
      <c r="H3805" s="141"/>
      <c r="I3805" s="141"/>
      <c r="J3805" s="141"/>
      <c r="K3805" s="141"/>
      <c r="L3805" s="141">
        <f>+D3805</f>
        <v>68556800</v>
      </c>
      <c r="M3805" s="142"/>
      <c r="N3805" s="142"/>
      <c r="O3805" s="149">
        <f>+VLOOKUP(A3805,'[1]ANEXO 7 - PPTO VIG 2021'!$H$8:$AB$160,21,)-L3816</f>
        <v>-428480</v>
      </c>
    </row>
    <row r="3806" spans="1:24" ht="15" hidden="1" x14ac:dyDescent="0.25">
      <c r="B3806" s="89">
        <v>44278.083333333336</v>
      </c>
      <c r="C3806" s="92" t="s">
        <v>3552</v>
      </c>
      <c r="D3806" s="23"/>
      <c r="E3806" s="91">
        <v>3856320</v>
      </c>
      <c r="F3806" s="93"/>
      <c r="G3806" s="93">
        <f t="shared" ref="G3806:G3816" si="743">+E3806</f>
        <v>3856320</v>
      </c>
      <c r="H3806" s="94"/>
      <c r="I3806" s="94">
        <v>0</v>
      </c>
      <c r="J3806" s="91">
        <v>35389.449999999997</v>
      </c>
      <c r="K3806" s="25">
        <f t="shared" ref="K3806:K3816" si="744">+G3806-H3806-I3806-J3806</f>
        <v>3820930.55</v>
      </c>
      <c r="L3806" s="95">
        <f t="shared" ref="L3806:L3811" si="745">+L3805-G3806</f>
        <v>64700480</v>
      </c>
      <c r="M3806" s="96"/>
      <c r="N3806" s="96"/>
      <c r="P3806" s="21">
        <v>9416421601</v>
      </c>
      <c r="Q3806" s="127">
        <v>44228</v>
      </c>
      <c r="R3806" s="14">
        <v>214300</v>
      </c>
      <c r="T3806" s="3">
        <f>+L3805-428480</f>
        <v>68128320</v>
      </c>
      <c r="U3806" s="3">
        <f>+T3806*40%</f>
        <v>27251328</v>
      </c>
    </row>
    <row r="3807" spans="1:24" ht="15" hidden="1" x14ac:dyDescent="0.25">
      <c r="B3807" s="89">
        <v>44295.083333333336</v>
      </c>
      <c r="C3807" s="184" t="s">
        <v>3553</v>
      </c>
      <c r="D3807" s="23"/>
      <c r="E3807" s="91">
        <v>6427200</v>
      </c>
      <c r="F3807" s="93"/>
      <c r="G3807" s="93">
        <f t="shared" si="743"/>
        <v>6427200</v>
      </c>
      <c r="H3807" s="94"/>
      <c r="I3807" s="91">
        <v>121211.46</v>
      </c>
      <c r="J3807" s="91">
        <v>58982.41</v>
      </c>
      <c r="K3807" s="25">
        <f t="shared" si="744"/>
        <v>6247006.1299999999</v>
      </c>
      <c r="L3807" s="95">
        <f t="shared" si="745"/>
        <v>58273280</v>
      </c>
      <c r="M3807" s="96"/>
      <c r="N3807" s="96"/>
      <c r="P3807" s="55">
        <v>9416726025</v>
      </c>
      <c r="Q3807" s="127">
        <v>44256</v>
      </c>
      <c r="R3807" s="14">
        <v>321400</v>
      </c>
      <c r="S3807" s="14">
        <v>0</v>
      </c>
      <c r="U3807" s="3"/>
    </row>
    <row r="3808" spans="1:24" ht="15" hidden="1" x14ac:dyDescent="0.25">
      <c r="B3808" s="89">
        <v>44322.083333333336</v>
      </c>
      <c r="C3808" s="92" t="s">
        <v>3554</v>
      </c>
      <c r="D3808" s="23"/>
      <c r="E3808" s="91">
        <v>6427200</v>
      </c>
      <c r="F3808" s="93"/>
      <c r="G3808" s="93">
        <f t="shared" si="743"/>
        <v>6427200</v>
      </c>
      <c r="H3808" s="94"/>
      <c r="I3808" s="94">
        <v>121211.46</v>
      </c>
      <c r="J3808" s="91">
        <v>58982.41</v>
      </c>
      <c r="K3808" s="25">
        <f t="shared" si="744"/>
        <v>6247006.1299999999</v>
      </c>
      <c r="L3808" s="95">
        <f t="shared" si="745"/>
        <v>51846080</v>
      </c>
      <c r="M3808" s="20">
        <v>6427200</v>
      </c>
      <c r="N3808" s="20">
        <f>+G3808-M3808</f>
        <v>0</v>
      </c>
      <c r="P3808" s="55">
        <v>968510801</v>
      </c>
      <c r="Q3808" s="127">
        <v>44287</v>
      </c>
      <c r="R3808" s="14">
        <v>321400</v>
      </c>
      <c r="S3808" s="14">
        <v>0</v>
      </c>
      <c r="U3808" s="3">
        <f>+U3806*12.5%</f>
        <v>3406416</v>
      </c>
      <c r="V3808" s="173" t="s">
        <v>2769</v>
      </c>
    </row>
    <row r="3809" spans="1:24" ht="15" hidden="1" x14ac:dyDescent="0.25">
      <c r="B3809" s="89">
        <v>44349.083333333336</v>
      </c>
      <c r="C3809" s="92" t="s">
        <v>3555</v>
      </c>
      <c r="D3809" s="23"/>
      <c r="E3809" s="91">
        <v>6427200</v>
      </c>
      <c r="F3809" s="93"/>
      <c r="G3809" s="93">
        <f t="shared" si="743"/>
        <v>6427200</v>
      </c>
      <c r="H3809" s="94"/>
      <c r="I3809" s="94">
        <v>121211.46</v>
      </c>
      <c r="J3809" s="91">
        <v>58982.41</v>
      </c>
      <c r="K3809" s="25">
        <f t="shared" si="744"/>
        <v>6247006.1299999999</v>
      </c>
      <c r="L3809" s="95">
        <f t="shared" si="745"/>
        <v>45418880</v>
      </c>
      <c r="M3809" s="20"/>
      <c r="N3809" s="20"/>
      <c r="P3809" s="84">
        <v>9420260246</v>
      </c>
      <c r="Q3809" s="174">
        <v>44317</v>
      </c>
      <c r="R3809" s="125">
        <v>321400</v>
      </c>
      <c r="S3809" s="125">
        <v>0</v>
      </c>
    </row>
    <row r="3810" spans="1:24" ht="15" hidden="1" x14ac:dyDescent="0.25">
      <c r="B3810" s="89">
        <v>44386.083333333336</v>
      </c>
      <c r="C3810" s="92" t="s">
        <v>3556</v>
      </c>
      <c r="D3810" s="23"/>
      <c r="E3810" s="91">
        <v>6427200</v>
      </c>
      <c r="F3810" s="93"/>
      <c r="G3810" s="93">
        <f t="shared" si="743"/>
        <v>6427200</v>
      </c>
      <c r="H3810" s="94"/>
      <c r="I3810" s="94">
        <v>121211.46</v>
      </c>
      <c r="J3810" s="91">
        <v>58982.41</v>
      </c>
      <c r="K3810" s="25">
        <f t="shared" si="744"/>
        <v>6247006.1299999999</v>
      </c>
      <c r="L3810" s="95">
        <f t="shared" si="745"/>
        <v>38991680</v>
      </c>
      <c r="M3810" s="20"/>
      <c r="N3810" s="20"/>
      <c r="P3810" s="84">
        <v>9421428109</v>
      </c>
      <c r="Q3810" s="174">
        <v>44348</v>
      </c>
      <c r="R3810" s="125">
        <v>321400</v>
      </c>
      <c r="S3810" s="125">
        <v>0</v>
      </c>
    </row>
    <row r="3811" spans="1:24" ht="15" hidden="1" x14ac:dyDescent="0.25">
      <c r="B3811" s="89">
        <v>44420.083333333336</v>
      </c>
      <c r="C3811" s="92" t="s">
        <v>3557</v>
      </c>
      <c r="D3811" s="23"/>
      <c r="E3811" s="91">
        <v>6427200</v>
      </c>
      <c r="F3811" s="93"/>
      <c r="G3811" s="93">
        <f t="shared" si="743"/>
        <v>6427200</v>
      </c>
      <c r="H3811" s="94"/>
      <c r="I3811" s="94">
        <v>121211.46</v>
      </c>
      <c r="J3811" s="91">
        <v>58982.41</v>
      </c>
      <c r="K3811" s="25">
        <f t="shared" si="744"/>
        <v>6247006.1299999999</v>
      </c>
      <c r="L3811" s="95">
        <f t="shared" si="745"/>
        <v>32564480</v>
      </c>
      <c r="M3811" s="20"/>
      <c r="N3811" s="20"/>
      <c r="P3811" s="84">
        <v>9421426007</v>
      </c>
      <c r="Q3811" s="174">
        <v>44378</v>
      </c>
      <c r="R3811" s="125">
        <v>321400</v>
      </c>
      <c r="S3811" s="125">
        <v>0</v>
      </c>
      <c r="W3811" s="31">
        <v>6427200</v>
      </c>
      <c r="X3811" s="131">
        <f>+E3811-W3811</f>
        <v>0</v>
      </c>
    </row>
    <row r="3812" spans="1:24" ht="15" hidden="1" x14ac:dyDescent="0.25">
      <c r="B3812" s="89">
        <v>44445.083333333336</v>
      </c>
      <c r="C3812" s="92" t="s">
        <v>3558</v>
      </c>
      <c r="D3812" s="23"/>
      <c r="E3812" s="91">
        <v>6427200</v>
      </c>
      <c r="F3812" s="93"/>
      <c r="G3812" s="93">
        <f t="shared" si="743"/>
        <v>6427200</v>
      </c>
      <c r="H3812" s="94"/>
      <c r="I3812" s="94">
        <v>121211.46</v>
      </c>
      <c r="J3812" s="91">
        <v>58982.41</v>
      </c>
      <c r="K3812" s="25">
        <f t="shared" si="744"/>
        <v>6247006.1299999999</v>
      </c>
      <c r="L3812" s="95">
        <f>+L3811-G3812</f>
        <v>26137280</v>
      </c>
      <c r="M3812" s="20"/>
      <c r="N3812" s="20"/>
      <c r="P3812" s="84">
        <v>9423459147</v>
      </c>
      <c r="Q3812" s="174">
        <v>44409</v>
      </c>
      <c r="R3812" s="125">
        <v>321400</v>
      </c>
      <c r="S3812" s="125">
        <v>0</v>
      </c>
      <c r="W3812" s="31"/>
      <c r="X3812" s="131"/>
    </row>
    <row r="3813" spans="1:24" ht="15" hidden="1" x14ac:dyDescent="0.25">
      <c r="B3813" s="89">
        <v>44477.083333333336</v>
      </c>
      <c r="C3813" s="92" t="s">
        <v>3559</v>
      </c>
      <c r="D3813" s="23"/>
      <c r="E3813" s="91">
        <v>6427200</v>
      </c>
      <c r="F3813" s="93"/>
      <c r="G3813" s="93">
        <f t="shared" si="743"/>
        <v>6427200</v>
      </c>
      <c r="H3813" s="94"/>
      <c r="I3813" s="94">
        <v>212799.05</v>
      </c>
      <c r="J3813" s="91">
        <v>58982.41</v>
      </c>
      <c r="K3813" s="25">
        <f t="shared" si="744"/>
        <v>6155418.54</v>
      </c>
      <c r="L3813" s="95">
        <f>+L3812-G3813</f>
        <v>19710080</v>
      </c>
      <c r="M3813" s="20"/>
      <c r="N3813" s="20"/>
      <c r="P3813" s="84">
        <v>9423459230</v>
      </c>
      <c r="Q3813" s="174">
        <v>44440</v>
      </c>
      <c r="R3813" s="125">
        <v>321400</v>
      </c>
      <c r="S3813" s="125">
        <v>0</v>
      </c>
      <c r="W3813" s="31"/>
      <c r="X3813" s="131"/>
    </row>
    <row r="3814" spans="1:24" ht="15" hidden="1" x14ac:dyDescent="0.25">
      <c r="B3814" s="89">
        <v>44508.125</v>
      </c>
      <c r="C3814" s="92" t="s">
        <v>3560</v>
      </c>
      <c r="D3814" s="23"/>
      <c r="E3814" s="91">
        <v>6427200</v>
      </c>
      <c r="F3814" s="93"/>
      <c r="G3814" s="93">
        <f t="shared" si="743"/>
        <v>6427200</v>
      </c>
      <c r="H3814" s="94"/>
      <c r="I3814" s="94">
        <v>212799.05</v>
      </c>
      <c r="J3814" s="91">
        <v>58982.41</v>
      </c>
      <c r="K3814" s="25">
        <f t="shared" si="744"/>
        <v>6155418.54</v>
      </c>
      <c r="L3814" s="95">
        <f>+L3813-G3814</f>
        <v>13282880</v>
      </c>
      <c r="M3814" s="20"/>
      <c r="N3814" s="20"/>
      <c r="P3814" s="84">
        <v>9426249944</v>
      </c>
      <c r="Q3814" s="174">
        <v>44470</v>
      </c>
      <c r="R3814" s="125">
        <v>321400</v>
      </c>
      <c r="S3814" s="125">
        <v>0</v>
      </c>
      <c r="W3814" s="31"/>
      <c r="X3814" s="131"/>
    </row>
    <row r="3815" spans="1:24" ht="15" hidden="1" x14ac:dyDescent="0.25">
      <c r="B3815" s="89">
        <v>44544.125</v>
      </c>
      <c r="C3815" s="92" t="s">
        <v>3561</v>
      </c>
      <c r="D3815" s="23"/>
      <c r="E3815" s="91">
        <v>6427200</v>
      </c>
      <c r="F3815" s="93"/>
      <c r="G3815" s="93">
        <f t="shared" si="743"/>
        <v>6427200</v>
      </c>
      <c r="H3815" s="94"/>
      <c r="I3815" s="94">
        <v>121211.46</v>
      </c>
      <c r="J3815" s="91">
        <v>58982.41</v>
      </c>
      <c r="K3815" s="25">
        <f t="shared" si="744"/>
        <v>6247006.1299999999</v>
      </c>
      <c r="L3815" s="95">
        <f>+L3814-G3815</f>
        <v>6855680</v>
      </c>
      <c r="M3815" s="20"/>
      <c r="N3815" s="20"/>
      <c r="P3815" s="84">
        <v>9426250595</v>
      </c>
      <c r="Q3815" s="174">
        <v>44501</v>
      </c>
      <c r="R3815" s="125">
        <v>321400</v>
      </c>
      <c r="S3815" s="125">
        <v>0</v>
      </c>
      <c r="W3815" s="31"/>
      <c r="X3815" s="131"/>
    </row>
    <row r="3816" spans="1:24" ht="15" hidden="1" x14ac:dyDescent="0.25">
      <c r="B3816" s="89">
        <v>44553.125</v>
      </c>
      <c r="C3816" s="92" t="s">
        <v>3562</v>
      </c>
      <c r="D3816" s="23"/>
      <c r="E3816" s="91">
        <v>6427200</v>
      </c>
      <c r="F3816" s="93"/>
      <c r="G3816" s="93">
        <f t="shared" si="743"/>
        <v>6427200</v>
      </c>
      <c r="H3816" s="94"/>
      <c r="I3816" s="94">
        <v>121211.46</v>
      </c>
      <c r="J3816" s="91">
        <v>58982.41</v>
      </c>
      <c r="K3816" s="25">
        <f t="shared" si="744"/>
        <v>6247006.1299999999</v>
      </c>
      <c r="L3816" s="95">
        <f>+L3815-G3816</f>
        <v>428480</v>
      </c>
      <c r="M3816" s="20"/>
      <c r="N3816" s="20"/>
      <c r="P3816" s="84">
        <v>9427470583</v>
      </c>
      <c r="Q3816" s="174">
        <v>44531</v>
      </c>
      <c r="R3816" s="125">
        <v>321400</v>
      </c>
      <c r="S3816" s="125">
        <v>0</v>
      </c>
      <c r="W3816" s="31"/>
      <c r="X3816" s="131"/>
    </row>
    <row r="3817" spans="1:24" ht="15" hidden="1" x14ac:dyDescent="0.25">
      <c r="B3817" s="89"/>
      <c r="C3817" s="92"/>
      <c r="D3817" s="23"/>
      <c r="E3817" s="91"/>
      <c r="F3817" s="93"/>
      <c r="G3817" s="93"/>
      <c r="H3817" s="94"/>
      <c r="I3817" s="94"/>
      <c r="J3817" s="91"/>
      <c r="K3817" s="25"/>
      <c r="L3817" s="95"/>
      <c r="M3817" s="20"/>
      <c r="N3817" s="20"/>
      <c r="P3817" s="84"/>
      <c r="Q3817" s="174"/>
      <c r="R3817" s="178">
        <f>SUM(R3806:R3816)</f>
        <v>3428300</v>
      </c>
      <c r="S3817" s="125"/>
      <c r="W3817" s="31"/>
      <c r="X3817" s="131"/>
    </row>
    <row r="3818" spans="1:24" ht="15" hidden="1" x14ac:dyDescent="0.25">
      <c r="A3818" s="21">
        <v>2402021</v>
      </c>
      <c r="B3818" s="139" t="s">
        <v>3563</v>
      </c>
      <c r="C3818" s="140"/>
      <c r="D3818" s="141">
        <f>48150000+10000000</f>
        <v>58150000</v>
      </c>
      <c r="E3818" s="141">
        <f>+D3818</f>
        <v>58150000</v>
      </c>
      <c r="F3818" s="141"/>
      <c r="G3818" s="141"/>
      <c r="H3818" s="141"/>
      <c r="I3818" s="141"/>
      <c r="J3818" s="141"/>
      <c r="K3818" s="141"/>
      <c r="L3818" s="141">
        <f>+D3818</f>
        <v>58150000</v>
      </c>
      <c r="M3818" s="142"/>
      <c r="N3818" s="142"/>
      <c r="O3818" s="149">
        <f>+VLOOKUP(A3818,'[1]ANEXO 7 - PPTO VIG 2021'!$H$8:$AB$160,21,)-L3832</f>
        <v>-7224722</v>
      </c>
    </row>
    <row r="3819" spans="1:24" ht="15" hidden="1" x14ac:dyDescent="0.25">
      <c r="B3819" s="89">
        <v>44257.125</v>
      </c>
      <c r="C3819" s="92" t="s">
        <v>3564</v>
      </c>
      <c r="D3819" s="23"/>
      <c r="E3819" s="91">
        <v>2850000</v>
      </c>
      <c r="F3819" s="93"/>
      <c r="G3819" s="93">
        <f t="shared" ref="G3819:G3832" si="746">+E3819</f>
        <v>2850000</v>
      </c>
      <c r="H3819" s="94"/>
      <c r="I3819" s="94">
        <v>0</v>
      </c>
      <c r="J3819" s="91">
        <v>24392.47</v>
      </c>
      <c r="K3819" s="25">
        <f>+G3819-H3819-I3819-J3819</f>
        <v>2825607.53</v>
      </c>
      <c r="L3819" s="95">
        <f t="shared" ref="L3819:L3832" si="747">+L3818-G3819</f>
        <v>55300000</v>
      </c>
      <c r="M3819" s="96"/>
      <c r="N3819" s="96"/>
      <c r="P3819" s="21">
        <v>9416406736</v>
      </c>
      <c r="Q3819" s="127">
        <v>44228</v>
      </c>
      <c r="R3819" s="14">
        <v>142500</v>
      </c>
      <c r="S3819" s="14">
        <v>182400</v>
      </c>
      <c r="T3819" s="3">
        <f>+L3818-300000-10000000</f>
        <v>47850000</v>
      </c>
      <c r="U3819" s="3">
        <f>+T3819*40%</f>
        <v>19140000</v>
      </c>
    </row>
    <row r="3820" spans="1:24" ht="15" hidden="1" x14ac:dyDescent="0.25">
      <c r="B3820" s="89">
        <v>44293.083333333336</v>
      </c>
      <c r="C3820" s="92" t="s">
        <v>3565</v>
      </c>
      <c r="D3820" s="23"/>
      <c r="E3820" s="91">
        <v>4500000</v>
      </c>
      <c r="F3820" s="93"/>
      <c r="G3820" s="93">
        <f t="shared" si="746"/>
        <v>4500000</v>
      </c>
      <c r="H3820" s="94"/>
      <c r="I3820" s="94"/>
      <c r="J3820" s="91">
        <v>38514.42</v>
      </c>
      <c r="K3820" s="25">
        <f>+G3820-H3820-I3820-J3820</f>
        <v>4461485.58</v>
      </c>
      <c r="L3820" s="95">
        <f t="shared" si="747"/>
        <v>50800000</v>
      </c>
      <c r="M3820" s="96"/>
      <c r="N3820" s="96"/>
      <c r="P3820" s="55">
        <v>9417336797</v>
      </c>
      <c r="Q3820" s="127">
        <v>44256</v>
      </c>
      <c r="R3820" s="14">
        <v>225000</v>
      </c>
      <c r="S3820" s="14">
        <v>288000</v>
      </c>
      <c r="U3820" s="3"/>
    </row>
    <row r="3821" spans="1:24" ht="15" hidden="1" x14ac:dyDescent="0.25">
      <c r="B3821" s="89">
        <v>44349.083333333336</v>
      </c>
      <c r="C3821" s="92" t="s">
        <v>3566</v>
      </c>
      <c r="D3821" s="23"/>
      <c r="E3821" s="91">
        <v>4500000</v>
      </c>
      <c r="F3821" s="93"/>
      <c r="G3821" s="93">
        <f t="shared" si="746"/>
        <v>4500000</v>
      </c>
      <c r="H3821" s="94"/>
      <c r="I3821" s="94"/>
      <c r="J3821" s="91">
        <v>38514.42</v>
      </c>
      <c r="K3821" s="25">
        <f>+G3821-H3821-I3821-J3821</f>
        <v>4461485.58</v>
      </c>
      <c r="L3821" s="95">
        <f t="shared" si="747"/>
        <v>46300000</v>
      </c>
      <c r="M3821" s="96"/>
      <c r="N3821" s="96"/>
      <c r="P3821" s="55">
        <v>950980304</v>
      </c>
      <c r="Q3821" s="97">
        <v>44287</v>
      </c>
      <c r="R3821" s="14">
        <v>225000</v>
      </c>
      <c r="S3821" s="14">
        <v>288000</v>
      </c>
      <c r="U3821" s="3">
        <f>+U3819*12.5%</f>
        <v>2392500</v>
      </c>
      <c r="V3821" s="173" t="s">
        <v>11</v>
      </c>
    </row>
    <row r="3822" spans="1:24" ht="15" hidden="1" x14ac:dyDescent="0.25">
      <c r="B3822" s="89">
        <v>44356.083333333336</v>
      </c>
      <c r="C3822" s="92" t="s">
        <v>3567</v>
      </c>
      <c r="D3822" s="23"/>
      <c r="E3822" s="91">
        <v>4500000</v>
      </c>
      <c r="F3822" s="93"/>
      <c r="G3822" s="93">
        <f t="shared" si="746"/>
        <v>4500000</v>
      </c>
      <c r="H3822" s="94"/>
      <c r="I3822" s="94"/>
      <c r="J3822" s="91">
        <v>38514.42</v>
      </c>
      <c r="K3822" s="25">
        <v>4461485.58</v>
      </c>
      <c r="L3822" s="95">
        <f t="shared" si="747"/>
        <v>41800000</v>
      </c>
      <c r="M3822" s="96"/>
      <c r="N3822" s="96"/>
      <c r="P3822" s="55">
        <v>9418854810</v>
      </c>
      <c r="Q3822" s="97">
        <v>44317</v>
      </c>
      <c r="R3822" s="14">
        <v>225000</v>
      </c>
      <c r="S3822" s="14">
        <v>288000</v>
      </c>
      <c r="U3822" s="3">
        <f>+U3819*16%</f>
        <v>3062400</v>
      </c>
      <c r="V3822" s="172" t="s">
        <v>12</v>
      </c>
    </row>
    <row r="3823" spans="1:24" ht="15" hidden="1" x14ac:dyDescent="0.25">
      <c r="B3823" s="89">
        <v>44383.083333333336</v>
      </c>
      <c r="C3823" s="92" t="s">
        <v>3568</v>
      </c>
      <c r="D3823" s="23"/>
      <c r="E3823" s="91">
        <v>4500000</v>
      </c>
      <c r="F3823" s="93"/>
      <c r="G3823" s="93">
        <f t="shared" si="746"/>
        <v>4500000</v>
      </c>
      <c r="H3823" s="94"/>
      <c r="I3823" s="94"/>
      <c r="J3823" s="91">
        <v>38514.42</v>
      </c>
      <c r="K3823" s="25">
        <v>4461485.58</v>
      </c>
      <c r="L3823" s="95">
        <f t="shared" si="747"/>
        <v>37300000</v>
      </c>
      <c r="M3823" s="96"/>
      <c r="N3823" s="96"/>
      <c r="P3823" s="55">
        <v>94203287867</v>
      </c>
      <c r="Q3823" s="97">
        <v>44348</v>
      </c>
      <c r="R3823" s="14">
        <v>225000</v>
      </c>
      <c r="S3823" s="14">
        <v>288000</v>
      </c>
    </row>
    <row r="3824" spans="1:24" ht="15" hidden="1" x14ac:dyDescent="0.25">
      <c r="B3824" s="89">
        <v>44411.083333333336</v>
      </c>
      <c r="C3824" s="92" t="s">
        <v>3569</v>
      </c>
      <c r="D3824" s="23"/>
      <c r="E3824" s="91">
        <v>4500000</v>
      </c>
      <c r="F3824" s="93"/>
      <c r="G3824" s="93">
        <f t="shared" si="746"/>
        <v>4500000</v>
      </c>
      <c r="H3824" s="94"/>
      <c r="I3824" s="94"/>
      <c r="J3824" s="91">
        <v>38514.42</v>
      </c>
      <c r="K3824" s="25">
        <f t="shared" ref="K3824:K3832" si="748">+G3824-H3824-I3824-J3824</f>
        <v>4461485.58</v>
      </c>
      <c r="L3824" s="95">
        <f t="shared" si="747"/>
        <v>32800000</v>
      </c>
      <c r="M3824" s="96"/>
      <c r="N3824" s="96"/>
      <c r="P3824" s="84">
        <v>9422150718</v>
      </c>
      <c r="Q3824" s="97">
        <v>44378</v>
      </c>
      <c r="R3824" s="14">
        <v>225000</v>
      </c>
      <c r="S3824" s="14">
        <v>288000</v>
      </c>
      <c r="W3824" s="31" t="e">
        <v>#N/A</v>
      </c>
      <c r="X3824" s="131" t="e">
        <f>+E3824-W3824</f>
        <v>#N/A</v>
      </c>
    </row>
    <row r="3825" spans="1:24" ht="15" hidden="1" x14ac:dyDescent="0.25">
      <c r="B3825" s="89">
        <v>44442.083333333336</v>
      </c>
      <c r="C3825" s="92" t="s">
        <v>3570</v>
      </c>
      <c r="D3825" s="23"/>
      <c r="E3825" s="91">
        <v>4500000</v>
      </c>
      <c r="F3825" s="93"/>
      <c r="G3825" s="93">
        <f t="shared" si="746"/>
        <v>4500000</v>
      </c>
      <c r="H3825" s="94"/>
      <c r="I3825" s="94"/>
      <c r="J3825" s="91">
        <v>38514.42</v>
      </c>
      <c r="K3825" s="25">
        <f t="shared" si="748"/>
        <v>4461485.58</v>
      </c>
      <c r="L3825" s="95">
        <f t="shared" si="747"/>
        <v>28300000</v>
      </c>
      <c r="M3825" s="96"/>
      <c r="N3825" s="96"/>
      <c r="P3825" s="84">
        <v>9423228018</v>
      </c>
      <c r="Q3825" s="97">
        <v>44409</v>
      </c>
      <c r="R3825" s="14">
        <v>225000</v>
      </c>
      <c r="S3825" s="14">
        <v>288000</v>
      </c>
      <c r="W3825" s="31"/>
      <c r="X3825" s="131"/>
    </row>
    <row r="3826" spans="1:24" ht="15" hidden="1" x14ac:dyDescent="0.25">
      <c r="B3826" s="89">
        <v>44442.083333333336</v>
      </c>
      <c r="C3826" s="92" t="s">
        <v>3571</v>
      </c>
      <c r="D3826" s="23"/>
      <c r="E3826" s="91">
        <v>1027708</v>
      </c>
      <c r="F3826" s="93"/>
      <c r="G3826" s="93">
        <f t="shared" si="746"/>
        <v>1027708</v>
      </c>
      <c r="H3826" s="94"/>
      <c r="I3826" s="94"/>
      <c r="J3826" s="91">
        <v>3802.52</v>
      </c>
      <c r="K3826" s="25">
        <f t="shared" si="748"/>
        <v>1023905.48</v>
      </c>
      <c r="L3826" s="95">
        <f t="shared" si="747"/>
        <v>27272292</v>
      </c>
      <c r="M3826" s="96"/>
      <c r="N3826" s="96"/>
      <c r="P3826" s="84"/>
      <c r="Q3826" s="124"/>
      <c r="R3826" s="125">
        <v>0</v>
      </c>
      <c r="S3826" s="125">
        <v>0</v>
      </c>
      <c r="W3826" s="31"/>
      <c r="X3826" s="131"/>
    </row>
    <row r="3827" spans="1:24" ht="15" hidden="1" x14ac:dyDescent="0.25">
      <c r="B3827" s="89">
        <v>44482.083333333336</v>
      </c>
      <c r="C3827" s="92" t="s">
        <v>3572</v>
      </c>
      <c r="D3827" s="23"/>
      <c r="E3827" s="91">
        <v>4500000</v>
      </c>
      <c r="F3827" s="93"/>
      <c r="G3827" s="93">
        <f t="shared" si="746"/>
        <v>4500000</v>
      </c>
      <c r="H3827" s="94"/>
      <c r="I3827" s="94"/>
      <c r="J3827" s="91">
        <v>38514.42</v>
      </c>
      <c r="K3827" s="25">
        <f t="shared" si="748"/>
        <v>4461485.58</v>
      </c>
      <c r="L3827" s="95">
        <f t="shared" si="747"/>
        <v>22772292</v>
      </c>
      <c r="M3827" s="96"/>
      <c r="N3827" s="96"/>
      <c r="P3827" s="84">
        <v>9424393966</v>
      </c>
      <c r="Q3827" s="97">
        <v>44440</v>
      </c>
      <c r="R3827" s="14">
        <v>225000</v>
      </c>
      <c r="S3827" s="14">
        <v>288000</v>
      </c>
      <c r="W3827" s="31"/>
      <c r="X3827" s="131"/>
    </row>
    <row r="3828" spans="1:24" ht="15" hidden="1" x14ac:dyDescent="0.25">
      <c r="B3828" s="89">
        <v>44484.083333333336</v>
      </c>
      <c r="C3828" s="92" t="s">
        <v>3573</v>
      </c>
      <c r="D3828" s="23"/>
      <c r="E3828" s="91">
        <v>1105230</v>
      </c>
      <c r="F3828" s="93"/>
      <c r="G3828" s="93">
        <f t="shared" si="746"/>
        <v>1105230</v>
      </c>
      <c r="H3828" s="94"/>
      <c r="I3828" s="94">
        <v>68943.88</v>
      </c>
      <c r="J3828" s="91">
        <v>11052.3</v>
      </c>
      <c r="K3828" s="25">
        <f t="shared" si="748"/>
        <v>1025233.82</v>
      </c>
      <c r="L3828" s="95">
        <f t="shared" si="747"/>
        <v>21667062</v>
      </c>
      <c r="M3828" s="96"/>
      <c r="N3828" s="96"/>
      <c r="P3828" s="84"/>
      <c r="Q3828" s="124"/>
      <c r="R3828" s="125">
        <v>0</v>
      </c>
      <c r="S3828" s="125">
        <v>0</v>
      </c>
      <c r="W3828" s="31"/>
      <c r="X3828" s="131"/>
    </row>
    <row r="3829" spans="1:24" ht="15" hidden="1" x14ac:dyDescent="0.25">
      <c r="B3829" s="89">
        <v>44505.083333333336</v>
      </c>
      <c r="C3829" s="92" t="s">
        <v>3574</v>
      </c>
      <c r="D3829" s="23"/>
      <c r="E3829" s="91">
        <v>4500000</v>
      </c>
      <c r="F3829" s="93"/>
      <c r="G3829" s="93">
        <f t="shared" si="746"/>
        <v>4500000</v>
      </c>
      <c r="H3829" s="94"/>
      <c r="I3829" s="94"/>
      <c r="J3829" s="91">
        <v>38514.42</v>
      </c>
      <c r="K3829" s="25">
        <f t="shared" si="748"/>
        <v>4461485.58</v>
      </c>
      <c r="L3829" s="95">
        <f t="shared" si="747"/>
        <v>17167062</v>
      </c>
      <c r="M3829" s="96"/>
      <c r="N3829" s="96"/>
      <c r="P3829" s="84">
        <v>9425805629</v>
      </c>
      <c r="Q3829" s="97">
        <v>44470</v>
      </c>
      <c r="R3829" s="14">
        <v>225000</v>
      </c>
      <c r="S3829" s="14">
        <v>288000</v>
      </c>
      <c r="W3829" s="31"/>
      <c r="X3829" s="131"/>
    </row>
    <row r="3830" spans="1:24" ht="15" hidden="1" x14ac:dyDescent="0.25">
      <c r="B3830" s="89">
        <v>44539.125</v>
      </c>
      <c r="C3830" s="92" t="s">
        <v>3575</v>
      </c>
      <c r="D3830" s="23"/>
      <c r="E3830" s="91">
        <v>4500000</v>
      </c>
      <c r="F3830" s="93"/>
      <c r="G3830" s="93">
        <f t="shared" si="746"/>
        <v>4500000</v>
      </c>
      <c r="H3830" s="94"/>
      <c r="I3830" s="94"/>
      <c r="J3830" s="91">
        <v>38514.42</v>
      </c>
      <c r="K3830" s="25">
        <f t="shared" si="748"/>
        <v>4461485.58</v>
      </c>
      <c r="L3830" s="95">
        <f t="shared" si="747"/>
        <v>12667062</v>
      </c>
      <c r="M3830" s="96"/>
      <c r="N3830" s="96"/>
      <c r="P3830" s="84">
        <v>9426847824</v>
      </c>
      <c r="Q3830" s="124">
        <v>44501</v>
      </c>
      <c r="R3830" s="14">
        <v>225000</v>
      </c>
      <c r="S3830" s="198">
        <v>288000</v>
      </c>
      <c r="W3830" s="31"/>
      <c r="X3830" s="131"/>
    </row>
    <row r="3831" spans="1:24" ht="15" hidden="1" x14ac:dyDescent="0.25">
      <c r="B3831" s="89">
        <v>44559.125</v>
      </c>
      <c r="C3831" s="92" t="s">
        <v>3576</v>
      </c>
      <c r="D3831" s="23"/>
      <c r="E3831" s="91">
        <v>4500000</v>
      </c>
      <c r="F3831" s="93"/>
      <c r="G3831" s="93">
        <f t="shared" si="746"/>
        <v>4500000</v>
      </c>
      <c r="H3831" s="94"/>
      <c r="I3831" s="94"/>
      <c r="J3831" s="91">
        <v>38514.42</v>
      </c>
      <c r="K3831" s="25">
        <f t="shared" si="748"/>
        <v>4461485.58</v>
      </c>
      <c r="L3831" s="95">
        <f t="shared" si="747"/>
        <v>8167062</v>
      </c>
      <c r="M3831" s="96"/>
      <c r="N3831" s="96"/>
      <c r="P3831" s="84">
        <v>9428270761</v>
      </c>
      <c r="Q3831" s="124">
        <v>44531</v>
      </c>
      <c r="R3831" s="14">
        <v>225000</v>
      </c>
      <c r="S3831" s="198">
        <v>288000</v>
      </c>
      <c r="W3831" s="31"/>
      <c r="X3831" s="131"/>
    </row>
    <row r="3832" spans="1:24" ht="15" hidden="1" x14ac:dyDescent="0.25">
      <c r="B3832" s="89">
        <v>44560.125</v>
      </c>
      <c r="C3832" s="92" t="s">
        <v>3577</v>
      </c>
      <c r="D3832" s="23"/>
      <c r="E3832" s="91">
        <v>942340</v>
      </c>
      <c r="F3832" s="93"/>
      <c r="G3832" s="93">
        <f t="shared" si="746"/>
        <v>942340</v>
      </c>
      <c r="H3832" s="94"/>
      <c r="I3832" s="94">
        <v>45732.03</v>
      </c>
      <c r="J3832" s="91">
        <v>4711.7</v>
      </c>
      <c r="K3832" s="25">
        <f t="shared" si="748"/>
        <v>891896.27</v>
      </c>
      <c r="L3832" s="95">
        <f t="shared" si="747"/>
        <v>7224722</v>
      </c>
      <c r="M3832" s="96"/>
      <c r="N3832" s="96"/>
      <c r="P3832" s="84"/>
      <c r="Q3832" s="124"/>
      <c r="R3832" s="178">
        <f>SUM(R3819:R3831)</f>
        <v>2392500</v>
      </c>
      <c r="S3832" s="177">
        <f>SUM(S3819:S3831)</f>
        <v>3062400</v>
      </c>
      <c r="W3832" s="31"/>
      <c r="X3832" s="131"/>
    </row>
    <row r="3833" spans="1:24" ht="15" hidden="1" x14ac:dyDescent="0.25">
      <c r="B3833" s="89"/>
      <c r="C3833" s="92"/>
      <c r="D3833" s="23"/>
      <c r="E3833" s="91"/>
      <c r="F3833" s="93"/>
      <c r="G3833" s="93"/>
      <c r="H3833" s="94"/>
      <c r="I3833" s="94"/>
      <c r="J3833" s="91"/>
      <c r="K3833" s="25"/>
      <c r="L3833" s="95"/>
      <c r="M3833" s="96"/>
      <c r="N3833" s="96"/>
      <c r="P3833" s="84"/>
      <c r="Q3833" s="124"/>
      <c r="R3833" s="125"/>
      <c r="S3833" s="199"/>
      <c r="W3833" s="31"/>
      <c r="X3833" s="131"/>
    </row>
    <row r="3834" spans="1:24" ht="15" hidden="1" x14ac:dyDescent="0.25">
      <c r="A3834" s="21">
        <v>2862021</v>
      </c>
      <c r="B3834" s="139" t="s">
        <v>3578</v>
      </c>
      <c r="C3834" s="140"/>
      <c r="D3834" s="141">
        <v>45704533</v>
      </c>
      <c r="E3834" s="141">
        <f>+D3834</f>
        <v>45704533</v>
      </c>
      <c r="F3834" s="141"/>
      <c r="G3834" s="141"/>
      <c r="H3834" s="141"/>
      <c r="I3834" s="141"/>
      <c r="J3834" s="141"/>
      <c r="K3834" s="141"/>
      <c r="L3834" s="141">
        <f>+D3834</f>
        <v>45704533</v>
      </c>
      <c r="M3834" s="142"/>
      <c r="N3834" s="142"/>
      <c r="O3834" s="149">
        <f>+VLOOKUP(A3834,'[1]ANEXO 7 - PPTO VIG 2021'!$H$8:$AB$160,21,)-L3844</f>
        <v>0</v>
      </c>
    </row>
    <row r="3835" spans="1:24" ht="15" hidden="1" x14ac:dyDescent="0.25">
      <c r="B3835" s="89">
        <v>44271.083333333336</v>
      </c>
      <c r="C3835" s="92" t="s">
        <v>3579</v>
      </c>
      <c r="D3835" s="23"/>
      <c r="E3835" s="91">
        <v>1856747</v>
      </c>
      <c r="F3835" s="93"/>
      <c r="G3835" s="93">
        <f t="shared" ref="G3835:G3844" si="749">+E3835</f>
        <v>1856747</v>
      </c>
      <c r="H3835" s="94"/>
      <c r="I3835" s="94">
        <v>0</v>
      </c>
      <c r="J3835" s="91">
        <v>15891.45</v>
      </c>
      <c r="K3835" s="25">
        <f t="shared" ref="K3835:K3844" si="750">+G3835-H3835-I3835-J3835</f>
        <v>1840855.55</v>
      </c>
      <c r="L3835" s="95">
        <f t="shared" ref="L3835:L3844" si="751">+L3834-G3835</f>
        <v>43847786</v>
      </c>
      <c r="M3835" s="96"/>
      <c r="N3835" s="96"/>
    </row>
    <row r="3836" spans="1:24" ht="15" hidden="1" x14ac:dyDescent="0.25">
      <c r="B3836" s="89">
        <v>44305.083333333336</v>
      </c>
      <c r="C3836" s="92" t="s">
        <v>3580</v>
      </c>
      <c r="D3836" s="23"/>
      <c r="E3836" s="91">
        <v>4284800</v>
      </c>
      <c r="F3836" s="93"/>
      <c r="G3836" s="93">
        <f t="shared" si="749"/>
        <v>4284800</v>
      </c>
      <c r="H3836" s="94"/>
      <c r="I3836" s="94"/>
      <c r="J3836" s="91">
        <v>36672.57</v>
      </c>
      <c r="K3836" s="25">
        <f t="shared" si="750"/>
        <v>4248127.43</v>
      </c>
      <c r="L3836" s="95">
        <f t="shared" si="751"/>
        <v>39562986</v>
      </c>
      <c r="M3836" s="96"/>
      <c r="N3836" s="96"/>
      <c r="P3836" s="55">
        <v>49568958</v>
      </c>
      <c r="Q3836" s="127">
        <v>44256</v>
      </c>
      <c r="R3836" s="14">
        <v>214300</v>
      </c>
      <c r="S3836" s="14">
        <v>274300</v>
      </c>
    </row>
    <row r="3837" spans="1:24" ht="15" hidden="1" x14ac:dyDescent="0.25">
      <c r="B3837" s="89">
        <v>44328.083333333336</v>
      </c>
      <c r="C3837" s="92" t="s">
        <v>3581</v>
      </c>
      <c r="D3837" s="23"/>
      <c r="E3837" s="91">
        <v>4284800</v>
      </c>
      <c r="F3837" s="93"/>
      <c r="G3837" s="93">
        <f t="shared" si="749"/>
        <v>4284800</v>
      </c>
      <c r="H3837" s="94"/>
      <c r="I3837" s="94"/>
      <c r="J3837" s="91">
        <v>36672.57</v>
      </c>
      <c r="K3837" s="25">
        <f t="shared" si="750"/>
        <v>4248127.43</v>
      </c>
      <c r="L3837" s="95">
        <f t="shared" si="751"/>
        <v>35278186</v>
      </c>
      <c r="M3837" s="20">
        <v>4284800</v>
      </c>
      <c r="N3837" s="20">
        <f>+G3837-M3837</f>
        <v>0</v>
      </c>
      <c r="P3837" s="55">
        <v>50034249</v>
      </c>
      <c r="Q3837" s="127">
        <v>44287</v>
      </c>
      <c r="R3837" s="14">
        <v>214300</v>
      </c>
      <c r="S3837" s="14">
        <v>274300</v>
      </c>
    </row>
    <row r="3838" spans="1:24" ht="15" hidden="1" x14ac:dyDescent="0.25">
      <c r="B3838" s="89">
        <v>44370.083333333336</v>
      </c>
      <c r="C3838" s="92" t="s">
        <v>3582</v>
      </c>
      <c r="D3838" s="23"/>
      <c r="E3838" s="91">
        <v>4284800</v>
      </c>
      <c r="F3838" s="93"/>
      <c r="G3838" s="93">
        <f t="shared" si="749"/>
        <v>4284800</v>
      </c>
      <c r="H3838" s="94"/>
      <c r="I3838" s="94"/>
      <c r="J3838" s="91">
        <v>36672.57</v>
      </c>
      <c r="K3838" s="25">
        <f t="shared" si="750"/>
        <v>4248127.43</v>
      </c>
      <c r="L3838" s="95">
        <f t="shared" si="751"/>
        <v>30993386</v>
      </c>
      <c r="M3838" s="20"/>
      <c r="N3838" s="20"/>
      <c r="P3838" s="55">
        <v>50623219</v>
      </c>
      <c r="Q3838" s="127">
        <v>44317</v>
      </c>
      <c r="R3838" s="14">
        <v>214300</v>
      </c>
      <c r="S3838" s="14">
        <v>274300</v>
      </c>
    </row>
    <row r="3839" spans="1:24" ht="15" hidden="1" x14ac:dyDescent="0.25">
      <c r="B3839" s="89">
        <v>44411.083333333336</v>
      </c>
      <c r="C3839" s="92" t="s">
        <v>3583</v>
      </c>
      <c r="D3839" s="23"/>
      <c r="E3839" s="91">
        <v>4284800</v>
      </c>
      <c r="F3839" s="93"/>
      <c r="G3839" s="93">
        <f t="shared" si="749"/>
        <v>4284800</v>
      </c>
      <c r="H3839" s="94"/>
      <c r="I3839" s="94"/>
      <c r="J3839" s="91">
        <v>36672.57</v>
      </c>
      <c r="K3839" s="25">
        <f t="shared" si="750"/>
        <v>4248127.43</v>
      </c>
      <c r="L3839" s="95">
        <f t="shared" si="751"/>
        <v>26708586</v>
      </c>
      <c r="M3839" s="20"/>
      <c r="N3839" s="20"/>
      <c r="P3839" s="84">
        <v>51576387</v>
      </c>
      <c r="Q3839" s="127">
        <v>44348</v>
      </c>
      <c r="R3839" s="14">
        <v>214300</v>
      </c>
      <c r="S3839" s="14">
        <v>274300</v>
      </c>
      <c r="W3839" s="31">
        <v>4284800</v>
      </c>
      <c r="X3839" s="131">
        <f>+E3839-W3839</f>
        <v>0</v>
      </c>
    </row>
    <row r="3840" spans="1:24" ht="15" hidden="1" x14ac:dyDescent="0.25">
      <c r="B3840" s="89">
        <v>44433.083333333336</v>
      </c>
      <c r="C3840" s="92" t="s">
        <v>3584</v>
      </c>
      <c r="D3840" s="23"/>
      <c r="E3840" s="91">
        <v>4284800</v>
      </c>
      <c r="F3840" s="93"/>
      <c r="G3840" s="93">
        <f t="shared" si="749"/>
        <v>4284800</v>
      </c>
      <c r="H3840" s="94"/>
      <c r="I3840" s="94"/>
      <c r="J3840" s="91">
        <v>36672.57</v>
      </c>
      <c r="K3840" s="25">
        <f t="shared" si="750"/>
        <v>4248127.43</v>
      </c>
      <c r="L3840" s="95">
        <f t="shared" si="751"/>
        <v>22423786</v>
      </c>
      <c r="M3840" s="20"/>
      <c r="N3840" s="20"/>
      <c r="P3840" s="84">
        <v>52273837</v>
      </c>
      <c r="Q3840" s="127">
        <v>44378</v>
      </c>
      <c r="R3840" s="14">
        <v>214300</v>
      </c>
      <c r="S3840" s="14">
        <v>274300</v>
      </c>
      <c r="W3840" s="31">
        <v>4284800</v>
      </c>
      <c r="X3840" s="131">
        <f>+E3840-W3840</f>
        <v>0</v>
      </c>
    </row>
    <row r="3841" spans="1:24" ht="15" hidden="1" x14ac:dyDescent="0.25">
      <c r="B3841" s="89">
        <v>44459.083333333336</v>
      </c>
      <c r="C3841" s="92" t="s">
        <v>3585</v>
      </c>
      <c r="D3841" s="23"/>
      <c r="E3841" s="91">
        <v>4284800</v>
      </c>
      <c r="F3841" s="93"/>
      <c r="G3841" s="93">
        <f t="shared" si="749"/>
        <v>4284800</v>
      </c>
      <c r="H3841" s="94"/>
      <c r="I3841" s="94"/>
      <c r="J3841" s="91">
        <v>36672.57</v>
      </c>
      <c r="K3841" s="25">
        <f t="shared" si="750"/>
        <v>4248127.43</v>
      </c>
      <c r="L3841" s="95">
        <f t="shared" si="751"/>
        <v>18138986</v>
      </c>
      <c r="M3841" s="20"/>
      <c r="N3841" s="20"/>
      <c r="P3841" s="84">
        <v>52911054</v>
      </c>
      <c r="Q3841" s="127">
        <v>44409</v>
      </c>
      <c r="R3841" s="14">
        <v>214300</v>
      </c>
      <c r="S3841" s="14">
        <v>274300</v>
      </c>
      <c r="W3841" s="31"/>
      <c r="X3841" s="131"/>
    </row>
    <row r="3842" spans="1:24" ht="15" hidden="1" x14ac:dyDescent="0.25">
      <c r="B3842" s="89">
        <v>44490.083333333336</v>
      </c>
      <c r="C3842" s="92" t="s">
        <v>3586</v>
      </c>
      <c r="D3842" s="23"/>
      <c r="E3842" s="91">
        <v>4284800</v>
      </c>
      <c r="F3842" s="93"/>
      <c r="G3842" s="93">
        <f t="shared" si="749"/>
        <v>4284800</v>
      </c>
      <c r="H3842" s="94"/>
      <c r="I3842" s="94"/>
      <c r="J3842" s="91">
        <v>36672.57</v>
      </c>
      <c r="K3842" s="25">
        <f t="shared" si="750"/>
        <v>4248127.43</v>
      </c>
      <c r="L3842" s="95">
        <f t="shared" si="751"/>
        <v>13854186</v>
      </c>
      <c r="M3842" s="20"/>
      <c r="N3842" s="20"/>
      <c r="P3842" s="84">
        <v>53428942</v>
      </c>
      <c r="Q3842" s="127">
        <v>44440</v>
      </c>
      <c r="R3842" s="14">
        <v>214300</v>
      </c>
      <c r="S3842" s="14">
        <v>274300</v>
      </c>
      <c r="W3842" s="31"/>
      <c r="X3842" s="131"/>
    </row>
    <row r="3843" spans="1:24" ht="15" hidden="1" x14ac:dyDescent="0.25">
      <c r="B3843" s="89">
        <v>44533.125</v>
      </c>
      <c r="C3843" s="92" t="s">
        <v>3587</v>
      </c>
      <c r="D3843" s="23"/>
      <c r="E3843" s="91">
        <v>4284800</v>
      </c>
      <c r="F3843" s="93"/>
      <c r="G3843" s="93">
        <f t="shared" si="749"/>
        <v>4284800</v>
      </c>
      <c r="H3843" s="94"/>
      <c r="I3843" s="94"/>
      <c r="J3843" s="91">
        <v>36672.57</v>
      </c>
      <c r="K3843" s="25">
        <f t="shared" si="750"/>
        <v>4248127.43</v>
      </c>
      <c r="L3843" s="95">
        <f t="shared" si="751"/>
        <v>9569386</v>
      </c>
      <c r="M3843" s="20"/>
      <c r="N3843" s="20"/>
      <c r="P3843" s="84">
        <v>54309192</v>
      </c>
      <c r="Q3843" s="127">
        <v>44470</v>
      </c>
      <c r="R3843" s="14">
        <v>214300</v>
      </c>
      <c r="S3843" s="14">
        <v>274300</v>
      </c>
      <c r="W3843" s="31"/>
      <c r="X3843" s="131"/>
    </row>
    <row r="3844" spans="1:24" ht="15" hidden="1" x14ac:dyDescent="0.25">
      <c r="B3844" s="89">
        <v>44543.125</v>
      </c>
      <c r="C3844" s="92" t="s">
        <v>3588</v>
      </c>
      <c r="D3844" s="23"/>
      <c r="E3844" s="91">
        <v>4284800</v>
      </c>
      <c r="F3844" s="93"/>
      <c r="G3844" s="93">
        <f t="shared" si="749"/>
        <v>4284800</v>
      </c>
      <c r="H3844" s="94"/>
      <c r="I3844" s="94"/>
      <c r="J3844" s="91">
        <v>36672.57</v>
      </c>
      <c r="K3844" s="25">
        <f t="shared" si="750"/>
        <v>4248127.43</v>
      </c>
      <c r="L3844" s="95">
        <f t="shared" si="751"/>
        <v>5284586</v>
      </c>
      <c r="M3844" s="20"/>
      <c r="N3844" s="20"/>
      <c r="P3844" s="84">
        <v>55006766</v>
      </c>
      <c r="Q3844" s="127">
        <v>44501</v>
      </c>
      <c r="R3844" s="14">
        <v>214300</v>
      </c>
      <c r="S3844" s="14">
        <v>274300</v>
      </c>
      <c r="W3844" s="31"/>
      <c r="X3844" s="131"/>
    </row>
    <row r="3845" spans="1:24" ht="15" hidden="1" x14ac:dyDescent="0.25">
      <c r="B3845" s="89"/>
      <c r="C3845" s="92"/>
      <c r="D3845" s="23"/>
      <c r="E3845" s="91"/>
      <c r="F3845" s="93"/>
      <c r="G3845" s="93"/>
      <c r="H3845" s="94"/>
      <c r="I3845" s="94"/>
      <c r="J3845" s="91"/>
      <c r="K3845" s="25"/>
      <c r="L3845" s="95"/>
      <c r="M3845" s="20"/>
      <c r="N3845" s="20"/>
      <c r="P3845" s="84"/>
      <c r="Q3845" s="174"/>
      <c r="R3845" s="125"/>
      <c r="S3845" s="125"/>
      <c r="W3845" s="31"/>
      <c r="X3845" s="131"/>
    </row>
    <row r="3846" spans="1:24" ht="15" hidden="1" x14ac:dyDescent="0.25">
      <c r="A3846" s="21">
        <v>2502021</v>
      </c>
      <c r="B3846" s="139" t="s">
        <v>3589</v>
      </c>
      <c r="C3846" s="140"/>
      <c r="D3846" s="141">
        <v>62315000</v>
      </c>
      <c r="E3846" s="141">
        <f>+D3846</f>
        <v>62315000</v>
      </c>
      <c r="F3846" s="141"/>
      <c r="G3846" s="141"/>
      <c r="H3846" s="141"/>
      <c r="I3846" s="141"/>
      <c r="J3846" s="141"/>
      <c r="K3846" s="141"/>
      <c r="L3846" s="141">
        <f>+D3846</f>
        <v>62315000</v>
      </c>
      <c r="M3846" s="142"/>
      <c r="N3846" s="142"/>
      <c r="O3846" s="149">
        <f>+VLOOKUP(A3846,'[1]ANEXO 7 - PPTO VIG 2021'!$H$8:$AB$160,21,)-L3857</f>
        <v>-2077167</v>
      </c>
    </row>
    <row r="3847" spans="1:24" ht="15" hidden="1" x14ac:dyDescent="0.25">
      <c r="B3847" s="89">
        <v>44271.083333333336</v>
      </c>
      <c r="C3847" s="92" t="s">
        <v>3590</v>
      </c>
      <c r="D3847" s="23"/>
      <c r="E3847" s="91">
        <v>3587833</v>
      </c>
      <c r="F3847" s="93"/>
      <c r="G3847" s="93">
        <f>+E3847</f>
        <v>3587833</v>
      </c>
      <c r="H3847" s="94"/>
      <c r="I3847" s="94">
        <v>0</v>
      </c>
      <c r="J3847" s="91">
        <v>30707.4</v>
      </c>
      <c r="K3847" s="25">
        <f t="shared" ref="K3847:K3857" si="752">+G3847-H3847-I3847-J3847</f>
        <v>3557125.6</v>
      </c>
      <c r="L3847" s="95">
        <f t="shared" ref="L3847:L3852" si="753">+L3846-G3847</f>
        <v>58727167</v>
      </c>
      <c r="M3847" s="96"/>
      <c r="N3847" s="96"/>
      <c r="P3847" s="21">
        <v>48748818</v>
      </c>
      <c r="Q3847" s="127">
        <v>44228</v>
      </c>
      <c r="R3847" s="14">
        <v>179400</v>
      </c>
      <c r="S3847" s="14">
        <v>229700</v>
      </c>
      <c r="T3847" s="3">
        <f>+L3846-2077167</f>
        <v>60237833</v>
      </c>
      <c r="U3847" s="3">
        <f>+T3847*40%</f>
        <v>24095133.200000003</v>
      </c>
    </row>
    <row r="3848" spans="1:24" ht="15" hidden="1" x14ac:dyDescent="0.25">
      <c r="B3848" s="89">
        <v>44292.083333333336</v>
      </c>
      <c r="C3848" s="184" t="s">
        <v>3591</v>
      </c>
      <c r="D3848" s="23"/>
      <c r="E3848" s="91">
        <v>5665000</v>
      </c>
      <c r="F3848" s="93"/>
      <c r="G3848" s="93">
        <f t="shared" ref="G3848:G3853" si="754">+E3848</f>
        <v>5665000</v>
      </c>
      <c r="H3848" s="94"/>
      <c r="I3848" s="91">
        <v>58179.43</v>
      </c>
      <c r="J3848" s="91">
        <v>48485.38</v>
      </c>
      <c r="K3848" s="25">
        <f t="shared" si="752"/>
        <v>5558335.1900000004</v>
      </c>
      <c r="L3848" s="95">
        <f t="shared" si="753"/>
        <v>53062167</v>
      </c>
      <c r="M3848" s="96"/>
      <c r="N3848" s="96"/>
      <c r="P3848" s="21">
        <v>48935846</v>
      </c>
      <c r="Q3848" s="127">
        <v>44256</v>
      </c>
      <c r="R3848" s="14">
        <v>283300</v>
      </c>
      <c r="S3848" s="14">
        <v>362600</v>
      </c>
      <c r="U3848" s="3"/>
    </row>
    <row r="3849" spans="1:24" ht="15" hidden="1" x14ac:dyDescent="0.25">
      <c r="B3849" s="89">
        <v>44321.083333333336</v>
      </c>
      <c r="C3849" s="92" t="s">
        <v>3592</v>
      </c>
      <c r="D3849" s="23"/>
      <c r="E3849" s="91">
        <v>5665000</v>
      </c>
      <c r="F3849" s="93"/>
      <c r="G3849" s="93">
        <f t="shared" si="754"/>
        <v>5665000</v>
      </c>
      <c r="H3849" s="94"/>
      <c r="I3849" s="94">
        <v>58179.43</v>
      </c>
      <c r="J3849" s="91">
        <v>48485.38</v>
      </c>
      <c r="K3849" s="25">
        <f t="shared" si="752"/>
        <v>5558335.1900000004</v>
      </c>
      <c r="L3849" s="95">
        <f t="shared" si="753"/>
        <v>47397167</v>
      </c>
      <c r="M3849" s="20">
        <v>5665000</v>
      </c>
      <c r="N3849" s="20">
        <f>+G3849-M3849</f>
        <v>0</v>
      </c>
      <c r="P3849" s="55">
        <v>499922189</v>
      </c>
      <c r="Q3849" s="127">
        <v>44287</v>
      </c>
      <c r="R3849" s="14">
        <v>283300</v>
      </c>
      <c r="S3849" s="14">
        <v>362600</v>
      </c>
      <c r="U3849" s="3">
        <f>+U3847*12.5%</f>
        <v>3011891.6500000004</v>
      </c>
      <c r="V3849" s="173" t="s">
        <v>2769</v>
      </c>
    </row>
    <row r="3850" spans="1:24" ht="15" hidden="1" x14ac:dyDescent="0.25">
      <c r="B3850" s="89">
        <v>44349.083333333336</v>
      </c>
      <c r="C3850" s="92" t="s">
        <v>3593</v>
      </c>
      <c r="D3850" s="23"/>
      <c r="E3850" s="91">
        <v>5665000</v>
      </c>
      <c r="F3850" s="93"/>
      <c r="G3850" s="93">
        <f t="shared" si="754"/>
        <v>5665000</v>
      </c>
      <c r="H3850" s="94"/>
      <c r="I3850" s="94">
        <v>58179.43</v>
      </c>
      <c r="J3850" s="91">
        <v>48485.38</v>
      </c>
      <c r="K3850" s="25">
        <f t="shared" si="752"/>
        <v>5558335.1900000004</v>
      </c>
      <c r="L3850" s="95">
        <f t="shared" si="753"/>
        <v>41732167</v>
      </c>
      <c r="M3850" s="20"/>
      <c r="N3850" s="20"/>
      <c r="P3850" s="55">
        <v>50439849</v>
      </c>
      <c r="Q3850" s="127">
        <v>44317</v>
      </c>
      <c r="R3850" s="14">
        <v>283300</v>
      </c>
      <c r="S3850" s="14">
        <v>362600</v>
      </c>
      <c r="U3850" s="3">
        <f>+U3847*16%</f>
        <v>3855221.3120000004</v>
      </c>
      <c r="V3850" s="172" t="s">
        <v>2771</v>
      </c>
    </row>
    <row r="3851" spans="1:24" ht="15" hidden="1" x14ac:dyDescent="0.25">
      <c r="B3851" s="89">
        <v>44385.083333333336</v>
      </c>
      <c r="C3851" s="92" t="s">
        <v>3594</v>
      </c>
      <c r="D3851" s="23"/>
      <c r="E3851" s="91">
        <v>5665000</v>
      </c>
      <c r="F3851" s="93"/>
      <c r="G3851" s="93">
        <f t="shared" si="754"/>
        <v>5665000</v>
      </c>
      <c r="H3851" s="94"/>
      <c r="I3851" s="94">
        <v>58179.43</v>
      </c>
      <c r="J3851" s="91">
        <v>48485.38</v>
      </c>
      <c r="K3851" s="25">
        <f t="shared" si="752"/>
        <v>5558335.1900000004</v>
      </c>
      <c r="L3851" s="95">
        <f t="shared" si="753"/>
        <v>36067167</v>
      </c>
      <c r="M3851" s="20"/>
      <c r="N3851" s="20"/>
      <c r="P3851" s="55">
        <v>50957698</v>
      </c>
      <c r="Q3851" s="127">
        <v>44348</v>
      </c>
      <c r="R3851" s="14">
        <v>283300</v>
      </c>
      <c r="S3851" s="14">
        <v>362600</v>
      </c>
    </row>
    <row r="3852" spans="1:24" ht="15" hidden="1" x14ac:dyDescent="0.25">
      <c r="B3852" s="89">
        <v>44418.083333333336</v>
      </c>
      <c r="C3852" s="92" t="s">
        <v>3595</v>
      </c>
      <c r="D3852" s="23"/>
      <c r="E3852" s="91">
        <v>5665000</v>
      </c>
      <c r="F3852" s="93"/>
      <c r="G3852" s="93">
        <f t="shared" si="754"/>
        <v>5665000</v>
      </c>
      <c r="H3852" s="94"/>
      <c r="I3852" s="94">
        <v>58179.43</v>
      </c>
      <c r="J3852" s="91">
        <v>48485.38</v>
      </c>
      <c r="K3852" s="25">
        <f t="shared" si="752"/>
        <v>5558335.1900000004</v>
      </c>
      <c r="L3852" s="95">
        <f t="shared" si="753"/>
        <v>30402167</v>
      </c>
      <c r="M3852" s="20"/>
      <c r="N3852" s="20"/>
      <c r="P3852" s="84">
        <v>1073064151</v>
      </c>
      <c r="Q3852" s="174">
        <v>44378</v>
      </c>
      <c r="R3852" s="125">
        <v>283300</v>
      </c>
      <c r="S3852" s="125">
        <v>362600</v>
      </c>
      <c r="W3852" s="31">
        <v>5665000</v>
      </c>
      <c r="X3852" s="131">
        <f>+E3852-W3852</f>
        <v>0</v>
      </c>
    </row>
    <row r="3853" spans="1:24" ht="15" hidden="1" x14ac:dyDescent="0.25">
      <c r="B3853" s="89">
        <v>44447.083333333336</v>
      </c>
      <c r="C3853" s="92" t="s">
        <v>3596</v>
      </c>
      <c r="D3853" s="23"/>
      <c r="E3853" s="91">
        <v>5665000</v>
      </c>
      <c r="F3853" s="93"/>
      <c r="G3853" s="93">
        <f t="shared" si="754"/>
        <v>5665000</v>
      </c>
      <c r="H3853" s="94"/>
      <c r="I3853" s="94">
        <v>58179.43</v>
      </c>
      <c r="J3853" s="91">
        <v>48485.38</v>
      </c>
      <c r="K3853" s="25">
        <f t="shared" si="752"/>
        <v>5558335.1900000004</v>
      </c>
      <c r="L3853" s="95">
        <f>+L3852-G3853</f>
        <v>24737167</v>
      </c>
      <c r="M3853" s="20"/>
      <c r="N3853" s="20"/>
      <c r="P3853" s="84">
        <v>52593366</v>
      </c>
      <c r="Q3853" s="174">
        <v>44409</v>
      </c>
      <c r="R3853" s="125">
        <v>283300</v>
      </c>
      <c r="S3853" s="125">
        <v>362600</v>
      </c>
      <c r="W3853" s="31"/>
      <c r="X3853" s="131"/>
    </row>
    <row r="3854" spans="1:24" ht="15" hidden="1" x14ac:dyDescent="0.25">
      <c r="B3854" s="89">
        <v>44474.083333333336</v>
      </c>
      <c r="C3854" s="92" t="s">
        <v>3597</v>
      </c>
      <c r="D3854" s="23"/>
      <c r="E3854" s="91">
        <v>5665000</v>
      </c>
      <c r="F3854" s="93"/>
      <c r="G3854" s="93">
        <f>+E3854</f>
        <v>5665000</v>
      </c>
      <c r="H3854" s="94"/>
      <c r="I3854" s="94">
        <v>58179.43</v>
      </c>
      <c r="J3854" s="91">
        <v>48485.38</v>
      </c>
      <c r="K3854" s="25">
        <f t="shared" si="752"/>
        <v>5558335.1900000004</v>
      </c>
      <c r="L3854" s="95">
        <f>+L3853-G3854</f>
        <v>19072167</v>
      </c>
      <c r="M3854" s="20"/>
      <c r="N3854" s="20"/>
      <c r="P3854" s="84">
        <v>53230115</v>
      </c>
      <c r="Q3854" s="174">
        <v>44440</v>
      </c>
      <c r="R3854" s="125">
        <v>283300</v>
      </c>
      <c r="S3854" s="125">
        <v>362600</v>
      </c>
      <c r="W3854" s="31"/>
      <c r="X3854" s="131"/>
    </row>
    <row r="3855" spans="1:24" ht="15" hidden="1" x14ac:dyDescent="0.25">
      <c r="B3855" s="89">
        <v>44508.125</v>
      </c>
      <c r="C3855" s="92" t="s">
        <v>3598</v>
      </c>
      <c r="D3855" s="23"/>
      <c r="E3855" s="91">
        <v>5665000</v>
      </c>
      <c r="F3855" s="93"/>
      <c r="G3855" s="93">
        <f>+E3855</f>
        <v>5665000</v>
      </c>
      <c r="H3855" s="94"/>
      <c r="I3855" s="94">
        <v>58179.43</v>
      </c>
      <c r="J3855" s="91">
        <v>48485.38</v>
      </c>
      <c r="K3855" s="25">
        <f t="shared" si="752"/>
        <v>5558335.1900000004</v>
      </c>
      <c r="L3855" s="95">
        <f>+L3854-G3855</f>
        <v>13407167</v>
      </c>
      <c r="M3855" s="20"/>
      <c r="N3855" s="20"/>
      <c r="P3855" s="84">
        <v>53821240</v>
      </c>
      <c r="Q3855" s="174">
        <v>44470</v>
      </c>
      <c r="R3855" s="125">
        <v>283300</v>
      </c>
      <c r="S3855" s="125">
        <v>362600</v>
      </c>
      <c r="W3855" s="31"/>
      <c r="X3855" s="131"/>
    </row>
    <row r="3856" spans="1:24" ht="15" hidden="1" x14ac:dyDescent="0.25">
      <c r="B3856" s="89">
        <v>44540.125</v>
      </c>
      <c r="C3856" s="92" t="s">
        <v>3599</v>
      </c>
      <c r="D3856" s="23"/>
      <c r="E3856" s="91">
        <v>5665000</v>
      </c>
      <c r="F3856" s="93"/>
      <c r="G3856" s="93">
        <f>+E3856</f>
        <v>5665000</v>
      </c>
      <c r="H3856" s="94"/>
      <c r="I3856" s="94">
        <v>58179.43</v>
      </c>
      <c r="J3856" s="91">
        <v>48485.38</v>
      </c>
      <c r="K3856" s="25">
        <f t="shared" si="752"/>
        <v>5558335.1900000004</v>
      </c>
      <c r="L3856" s="95">
        <f>+L3855-G3856</f>
        <v>7742167</v>
      </c>
      <c r="M3856" s="20"/>
      <c r="N3856" s="20"/>
      <c r="P3856" s="84">
        <v>54582492</v>
      </c>
      <c r="Q3856" s="174">
        <v>44501</v>
      </c>
      <c r="R3856" s="125">
        <v>283300</v>
      </c>
      <c r="S3856" s="125">
        <v>362600</v>
      </c>
      <c r="W3856" s="31"/>
      <c r="X3856" s="131"/>
    </row>
    <row r="3857" spans="1:24" ht="15" hidden="1" x14ac:dyDescent="0.25">
      <c r="B3857" s="89">
        <v>44557.125</v>
      </c>
      <c r="C3857" s="92" t="s">
        <v>3600</v>
      </c>
      <c r="D3857" s="23"/>
      <c r="E3857" s="91">
        <v>5665000</v>
      </c>
      <c r="F3857" s="93"/>
      <c r="G3857" s="93">
        <f>+E3857</f>
        <v>5665000</v>
      </c>
      <c r="H3857" s="94"/>
      <c r="I3857" s="94">
        <v>58179.43</v>
      </c>
      <c r="J3857" s="91">
        <v>48485.38</v>
      </c>
      <c r="K3857" s="25">
        <f t="shared" si="752"/>
        <v>5558335.1900000004</v>
      </c>
      <c r="L3857" s="95">
        <f>+L3856-G3857</f>
        <v>2077167</v>
      </c>
      <c r="M3857" s="20"/>
      <c r="N3857" s="20"/>
      <c r="P3857" s="84">
        <v>55368455</v>
      </c>
      <c r="Q3857" s="174">
        <v>44531</v>
      </c>
      <c r="R3857" s="125">
        <v>283300</v>
      </c>
      <c r="S3857" s="125">
        <v>362600</v>
      </c>
      <c r="W3857" s="31"/>
      <c r="X3857" s="131"/>
    </row>
    <row r="3858" spans="1:24" ht="15" hidden="1" x14ac:dyDescent="0.25">
      <c r="B3858" s="89"/>
      <c r="C3858" s="92"/>
      <c r="D3858" s="23"/>
      <c r="E3858" s="91"/>
      <c r="F3858" s="93"/>
      <c r="G3858" s="93"/>
      <c r="H3858" s="94"/>
      <c r="I3858" s="94"/>
      <c r="J3858" s="91"/>
      <c r="K3858" s="25"/>
      <c r="L3858" s="95"/>
      <c r="M3858" s="20"/>
      <c r="N3858" s="20"/>
      <c r="P3858" s="84"/>
      <c r="Q3858" s="174"/>
      <c r="R3858" s="178">
        <f>SUM(R3847:R3857)</f>
        <v>3012400</v>
      </c>
      <c r="S3858" s="177">
        <f>SUM(S3847:S3857)</f>
        <v>3855700</v>
      </c>
      <c r="W3858" s="31"/>
      <c r="X3858" s="131"/>
    </row>
    <row r="3859" spans="1:24" ht="15" hidden="1" x14ac:dyDescent="0.25">
      <c r="A3859" s="21">
        <v>1162021</v>
      </c>
      <c r="B3859" s="139" t="s">
        <v>3601</v>
      </c>
      <c r="C3859" s="140"/>
      <c r="D3859" s="141">
        <v>37117080</v>
      </c>
      <c r="E3859" s="141">
        <f>+D3859</f>
        <v>37117080</v>
      </c>
      <c r="F3859" s="141"/>
      <c r="G3859" s="141"/>
      <c r="H3859" s="141"/>
      <c r="I3859" s="141"/>
      <c r="J3859" s="141"/>
      <c r="K3859" s="141"/>
      <c r="L3859" s="141">
        <f>+D3859</f>
        <v>37117080</v>
      </c>
      <c r="M3859" s="142"/>
      <c r="N3859" s="142"/>
      <c r="O3859" s="149">
        <f>+VLOOKUP(A3859,'[1]ANEXO 7 - PPTO VIG 2021'!$H$8:$AB$160,21,)-L3871</f>
        <v>0</v>
      </c>
    </row>
    <row r="3860" spans="1:24" ht="15" hidden="1" x14ac:dyDescent="0.25">
      <c r="B3860" s="89">
        <v>44257.125</v>
      </c>
      <c r="C3860" s="92" t="s">
        <v>3602</v>
      </c>
      <c r="D3860" s="23"/>
      <c r="E3860" s="91">
        <v>562380</v>
      </c>
      <c r="F3860" s="93"/>
      <c r="G3860" s="93">
        <f t="shared" ref="G3860:G3871" si="755">+E3860</f>
        <v>562380</v>
      </c>
      <c r="H3860" s="94"/>
      <c r="I3860" s="94">
        <v>0</v>
      </c>
      <c r="J3860" s="91">
        <v>5432.59</v>
      </c>
      <c r="K3860" s="25">
        <f t="shared" ref="K3860:K3871" si="756">+G3860-H3860-I3860-J3860</f>
        <v>556947.41</v>
      </c>
      <c r="L3860" s="95">
        <f t="shared" ref="L3860:L3866" si="757">+L3859-G3860</f>
        <v>36554700</v>
      </c>
      <c r="M3860" s="96"/>
      <c r="N3860" s="96"/>
      <c r="P3860" s="21">
        <v>47318215</v>
      </c>
      <c r="Q3860" s="127">
        <v>44166</v>
      </c>
      <c r="R3860" s="14">
        <v>182000</v>
      </c>
      <c r="S3860" s="14">
        <v>233000</v>
      </c>
      <c r="T3860" s="3">
        <f>+L3859</f>
        <v>37117080</v>
      </c>
      <c r="U3860" s="3">
        <f>+T3860*40%</f>
        <v>14846832</v>
      </c>
    </row>
    <row r="3861" spans="1:24" ht="15" hidden="1" x14ac:dyDescent="0.25">
      <c r="B3861" s="89">
        <v>44257.125</v>
      </c>
      <c r="C3861" s="92" t="s">
        <v>3603</v>
      </c>
      <c r="D3861" s="23"/>
      <c r="E3861" s="91">
        <v>3374280</v>
      </c>
      <c r="F3861" s="93"/>
      <c r="G3861" s="93">
        <f t="shared" si="755"/>
        <v>3374280</v>
      </c>
      <c r="H3861" s="94"/>
      <c r="I3861" s="94"/>
      <c r="J3861" s="91">
        <v>30093.599999999999</v>
      </c>
      <c r="K3861" s="25">
        <f t="shared" si="756"/>
        <v>3344186.4</v>
      </c>
      <c r="L3861" s="95">
        <f t="shared" si="757"/>
        <v>33180420</v>
      </c>
      <c r="M3861" s="96"/>
      <c r="N3861" s="96"/>
      <c r="P3861" s="21">
        <v>48783325</v>
      </c>
      <c r="Q3861" s="127">
        <v>44197</v>
      </c>
      <c r="R3861" s="14">
        <v>113600</v>
      </c>
      <c r="S3861" s="14">
        <v>145400</v>
      </c>
      <c r="U3861" s="3"/>
    </row>
    <row r="3862" spans="1:24" ht="15" hidden="1" x14ac:dyDescent="0.25">
      <c r="B3862" s="89">
        <v>44299.083333333336</v>
      </c>
      <c r="C3862" s="92" t="s">
        <v>3604</v>
      </c>
      <c r="D3862" s="23"/>
      <c r="E3862" s="91">
        <v>3374280</v>
      </c>
      <c r="F3862" s="93"/>
      <c r="G3862" s="93">
        <f t="shared" si="755"/>
        <v>3374280</v>
      </c>
      <c r="H3862" s="94"/>
      <c r="I3862" s="94"/>
      <c r="J3862" s="91">
        <v>28879.65</v>
      </c>
      <c r="K3862" s="25">
        <f t="shared" si="756"/>
        <v>3345400.35</v>
      </c>
      <c r="L3862" s="95">
        <f t="shared" si="757"/>
        <v>29806140</v>
      </c>
      <c r="M3862" s="96"/>
      <c r="N3862" s="96"/>
      <c r="P3862" s="55">
        <v>49476475</v>
      </c>
      <c r="Q3862" s="127">
        <v>44228</v>
      </c>
      <c r="R3862" s="14">
        <v>168800</v>
      </c>
      <c r="S3862" s="14">
        <v>216000</v>
      </c>
      <c r="U3862" s="3">
        <f>+U3860*12.5%</f>
        <v>1855854</v>
      </c>
      <c r="V3862" s="173" t="s">
        <v>2769</v>
      </c>
    </row>
    <row r="3863" spans="1:24" ht="15" hidden="1" x14ac:dyDescent="0.25">
      <c r="B3863" s="89">
        <v>44321.083333333336</v>
      </c>
      <c r="C3863" s="92" t="s">
        <v>3605</v>
      </c>
      <c r="D3863" s="23"/>
      <c r="E3863" s="91">
        <v>3374280</v>
      </c>
      <c r="F3863" s="93"/>
      <c r="G3863" s="93">
        <f t="shared" si="755"/>
        <v>3374280</v>
      </c>
      <c r="H3863" s="94"/>
      <c r="I3863" s="94"/>
      <c r="J3863" s="91">
        <v>28879.65</v>
      </c>
      <c r="K3863" s="25">
        <f t="shared" si="756"/>
        <v>3345400.35</v>
      </c>
      <c r="L3863" s="95">
        <f t="shared" si="757"/>
        <v>26431860</v>
      </c>
      <c r="M3863" s="20">
        <v>3374280</v>
      </c>
      <c r="N3863" s="20">
        <f>+G3863-M3863</f>
        <v>0</v>
      </c>
      <c r="P3863" s="55">
        <v>49937853</v>
      </c>
      <c r="Q3863" s="127">
        <v>44256</v>
      </c>
      <c r="R3863" s="14">
        <v>168800</v>
      </c>
      <c r="S3863" s="14">
        <v>216000</v>
      </c>
      <c r="U3863" s="3">
        <f>+U3860*16%</f>
        <v>2375493.12</v>
      </c>
      <c r="V3863" s="172" t="s">
        <v>2771</v>
      </c>
    </row>
    <row r="3864" spans="1:24" ht="15" hidden="1" x14ac:dyDescent="0.25">
      <c r="B3864" s="89">
        <v>44351.083333333336</v>
      </c>
      <c r="C3864" s="92" t="s">
        <v>3606</v>
      </c>
      <c r="D3864" s="23"/>
      <c r="E3864" s="91">
        <v>3374280</v>
      </c>
      <c r="F3864" s="93"/>
      <c r="G3864" s="93">
        <f t="shared" si="755"/>
        <v>3374280</v>
      </c>
      <c r="H3864" s="94"/>
      <c r="I3864" s="94"/>
      <c r="J3864" s="91">
        <v>28879.65</v>
      </c>
      <c r="K3864" s="25">
        <f t="shared" si="756"/>
        <v>3345400.35</v>
      </c>
      <c r="L3864" s="95">
        <f t="shared" si="757"/>
        <v>23057580</v>
      </c>
      <c r="M3864" s="20"/>
      <c r="N3864" s="20"/>
      <c r="P3864" s="55">
        <v>50437704</v>
      </c>
      <c r="Q3864" s="127">
        <v>44287</v>
      </c>
      <c r="R3864" s="14">
        <v>168800</v>
      </c>
      <c r="S3864" s="14">
        <v>216000</v>
      </c>
    </row>
    <row r="3865" spans="1:24" ht="15" hidden="1" x14ac:dyDescent="0.25">
      <c r="B3865" s="89">
        <v>44383.083333333336</v>
      </c>
      <c r="C3865" s="92" t="s">
        <v>3607</v>
      </c>
      <c r="D3865" s="23"/>
      <c r="E3865" s="91">
        <v>3374280</v>
      </c>
      <c r="F3865" s="93"/>
      <c r="G3865" s="93">
        <f t="shared" si="755"/>
        <v>3374280</v>
      </c>
      <c r="H3865" s="94"/>
      <c r="I3865" s="94"/>
      <c r="J3865" s="91">
        <v>28879.65</v>
      </c>
      <c r="K3865" s="25">
        <f t="shared" si="756"/>
        <v>3345400.35</v>
      </c>
      <c r="L3865" s="95">
        <f t="shared" si="757"/>
        <v>19683300</v>
      </c>
      <c r="M3865" s="20"/>
      <c r="N3865" s="20"/>
      <c r="P3865" s="55">
        <v>51150602</v>
      </c>
      <c r="Q3865" s="127">
        <v>44317</v>
      </c>
      <c r="R3865" s="14">
        <v>168800</v>
      </c>
      <c r="S3865" s="14">
        <v>216000</v>
      </c>
    </row>
    <row r="3866" spans="1:24" ht="15" hidden="1" x14ac:dyDescent="0.25">
      <c r="B3866" s="89">
        <v>44411.083333333336</v>
      </c>
      <c r="C3866" s="92" t="s">
        <v>3608</v>
      </c>
      <c r="D3866" s="23"/>
      <c r="E3866" s="91">
        <v>3374280</v>
      </c>
      <c r="F3866" s="93"/>
      <c r="G3866" s="93">
        <f t="shared" si="755"/>
        <v>3374280</v>
      </c>
      <c r="H3866" s="94"/>
      <c r="I3866" s="94"/>
      <c r="J3866" s="91">
        <v>28879.65</v>
      </c>
      <c r="K3866" s="25">
        <f t="shared" si="756"/>
        <v>3345400.35</v>
      </c>
      <c r="L3866" s="95">
        <f t="shared" si="757"/>
        <v>16309020</v>
      </c>
      <c r="M3866" s="20"/>
      <c r="N3866" s="20"/>
      <c r="P3866" s="84">
        <v>51778779</v>
      </c>
      <c r="Q3866" s="127">
        <v>44348</v>
      </c>
      <c r="R3866" s="14">
        <v>168800</v>
      </c>
      <c r="S3866" s="14">
        <v>216000</v>
      </c>
      <c r="W3866" s="31" t="e">
        <v>#N/A</v>
      </c>
      <c r="X3866" s="131" t="e">
        <f>+E3866-W3866</f>
        <v>#N/A</v>
      </c>
    </row>
    <row r="3867" spans="1:24" ht="15" hidden="1" x14ac:dyDescent="0.25">
      <c r="B3867" s="89">
        <v>44442.083333333336</v>
      </c>
      <c r="C3867" s="92" t="s">
        <v>3609</v>
      </c>
      <c r="D3867" s="23"/>
      <c r="E3867" s="91">
        <v>3374280</v>
      </c>
      <c r="F3867" s="93"/>
      <c r="G3867" s="93">
        <f t="shared" si="755"/>
        <v>3374280</v>
      </c>
      <c r="H3867" s="94"/>
      <c r="I3867" s="94"/>
      <c r="J3867" s="91">
        <v>28879.65</v>
      </c>
      <c r="K3867" s="25">
        <f t="shared" si="756"/>
        <v>3345400.35</v>
      </c>
      <c r="L3867" s="95">
        <f>+L3866-G3867</f>
        <v>12934740</v>
      </c>
      <c r="M3867" s="20"/>
      <c r="N3867" s="20"/>
      <c r="P3867" s="84">
        <v>52431905</v>
      </c>
      <c r="Q3867" s="127">
        <v>44378</v>
      </c>
      <c r="R3867" s="14">
        <v>168800</v>
      </c>
      <c r="S3867" s="14">
        <v>216000</v>
      </c>
      <c r="W3867" s="31"/>
      <c r="X3867" s="131"/>
    </row>
    <row r="3868" spans="1:24" ht="15" hidden="1" x14ac:dyDescent="0.25">
      <c r="B3868" s="89">
        <v>44474.083333333336</v>
      </c>
      <c r="C3868" s="92" t="s">
        <v>3610</v>
      </c>
      <c r="D3868" s="23"/>
      <c r="E3868" s="91">
        <v>3374280</v>
      </c>
      <c r="F3868" s="93"/>
      <c r="G3868" s="93">
        <f t="shared" si="755"/>
        <v>3374280</v>
      </c>
      <c r="H3868" s="94"/>
      <c r="I3868" s="94"/>
      <c r="J3868" s="91">
        <v>28879.65</v>
      </c>
      <c r="K3868" s="25">
        <f t="shared" si="756"/>
        <v>3345400.35</v>
      </c>
      <c r="L3868" s="95">
        <f>+L3867-G3868</f>
        <v>9560460</v>
      </c>
      <c r="M3868" s="20"/>
      <c r="N3868" s="20"/>
      <c r="P3868" s="84">
        <v>53167823</v>
      </c>
      <c r="Q3868" s="127">
        <v>44409</v>
      </c>
      <c r="R3868" s="14">
        <v>168800</v>
      </c>
      <c r="S3868" s="14">
        <v>216000</v>
      </c>
      <c r="W3868" s="31"/>
      <c r="X3868" s="131"/>
    </row>
    <row r="3869" spans="1:24" ht="15" hidden="1" x14ac:dyDescent="0.25">
      <c r="B3869" s="89">
        <v>44504.083333333336</v>
      </c>
      <c r="C3869" s="92" t="s">
        <v>3611</v>
      </c>
      <c r="D3869" s="23"/>
      <c r="E3869" s="91">
        <v>3374280</v>
      </c>
      <c r="F3869" s="93"/>
      <c r="G3869" s="93">
        <f t="shared" si="755"/>
        <v>3374280</v>
      </c>
      <c r="H3869" s="94"/>
      <c r="I3869" s="94"/>
      <c r="J3869" s="91">
        <v>28879.65</v>
      </c>
      <c r="K3869" s="25">
        <f t="shared" si="756"/>
        <v>3345400.35</v>
      </c>
      <c r="L3869" s="95">
        <f>+L3868-G3869</f>
        <v>6186180</v>
      </c>
      <c r="M3869" s="20"/>
      <c r="N3869" s="20"/>
      <c r="P3869" s="84">
        <v>53860460</v>
      </c>
      <c r="Q3869" s="127">
        <v>44440</v>
      </c>
      <c r="R3869" s="14">
        <v>168800</v>
      </c>
      <c r="S3869" s="14">
        <v>216000</v>
      </c>
      <c r="W3869" s="31"/>
      <c r="X3869" s="131"/>
    </row>
    <row r="3870" spans="1:24" ht="15" hidden="1" x14ac:dyDescent="0.25">
      <c r="B3870" s="89">
        <v>44533.125</v>
      </c>
      <c r="C3870" s="92" t="s">
        <v>3612</v>
      </c>
      <c r="D3870" s="23"/>
      <c r="E3870" s="91">
        <v>3374280</v>
      </c>
      <c r="F3870" s="93"/>
      <c r="G3870" s="93">
        <f t="shared" si="755"/>
        <v>3374280</v>
      </c>
      <c r="H3870" s="94"/>
      <c r="I3870" s="94"/>
      <c r="J3870" s="91">
        <v>28879.65</v>
      </c>
      <c r="K3870" s="25">
        <f t="shared" si="756"/>
        <v>3345400.35</v>
      </c>
      <c r="L3870" s="95">
        <f>+L3869-G3870</f>
        <v>2811900</v>
      </c>
      <c r="M3870" s="20"/>
      <c r="N3870" s="20"/>
      <c r="P3870" s="84">
        <v>54658804</v>
      </c>
      <c r="Q3870" s="127">
        <v>44470</v>
      </c>
      <c r="R3870" s="14">
        <v>168800</v>
      </c>
      <c r="S3870" s="14">
        <v>216000</v>
      </c>
      <c r="W3870" s="31"/>
      <c r="X3870" s="131"/>
    </row>
    <row r="3871" spans="1:24" ht="15" hidden="1" x14ac:dyDescent="0.25">
      <c r="B3871" s="89">
        <v>44560.125</v>
      </c>
      <c r="C3871" s="92" t="s">
        <v>3613</v>
      </c>
      <c r="D3871" s="23"/>
      <c r="E3871" s="91">
        <v>2811900</v>
      </c>
      <c r="F3871" s="93"/>
      <c r="G3871" s="93">
        <f t="shared" si="755"/>
        <v>2811900</v>
      </c>
      <c r="H3871" s="94"/>
      <c r="I3871" s="94"/>
      <c r="J3871" s="91">
        <v>24066.38</v>
      </c>
      <c r="K3871" s="25">
        <f t="shared" si="756"/>
        <v>2787833.62</v>
      </c>
      <c r="L3871" s="95">
        <f>+L3870-G3871</f>
        <v>0</v>
      </c>
      <c r="M3871" s="20"/>
      <c r="N3871" s="20"/>
      <c r="P3871" s="84">
        <v>55350994</v>
      </c>
      <c r="Q3871" s="127">
        <v>44501</v>
      </c>
      <c r="R3871" s="14">
        <v>168800</v>
      </c>
      <c r="S3871" s="14">
        <v>216000</v>
      </c>
      <c r="W3871" s="31"/>
      <c r="X3871" s="131"/>
    </row>
    <row r="3872" spans="1:24" ht="15" hidden="1" x14ac:dyDescent="0.25">
      <c r="B3872" s="89"/>
      <c r="C3872" s="92"/>
      <c r="D3872" s="23"/>
      <c r="E3872" s="91"/>
      <c r="F3872" s="93"/>
      <c r="G3872" s="93"/>
      <c r="H3872" s="94"/>
      <c r="I3872" s="94"/>
      <c r="J3872" s="91"/>
      <c r="K3872" s="25"/>
      <c r="L3872" s="95"/>
      <c r="M3872" s="20"/>
      <c r="N3872" s="20"/>
      <c r="P3872" s="84">
        <v>55365240</v>
      </c>
      <c r="Q3872" s="127">
        <v>44531</v>
      </c>
      <c r="R3872" s="14">
        <v>168800</v>
      </c>
      <c r="S3872" s="14">
        <v>216000</v>
      </c>
      <c r="W3872" s="31"/>
      <c r="X3872" s="131"/>
    </row>
    <row r="3873" spans="1:24" ht="15" hidden="1" x14ac:dyDescent="0.25">
      <c r="B3873" s="89"/>
      <c r="C3873" s="92"/>
      <c r="D3873" s="23"/>
      <c r="E3873" s="91"/>
      <c r="F3873" s="93"/>
      <c r="G3873" s="93"/>
      <c r="H3873" s="94"/>
      <c r="I3873" s="94"/>
      <c r="J3873" s="91"/>
      <c r="K3873" s="25"/>
      <c r="L3873" s="95"/>
      <c r="M3873" s="20"/>
      <c r="N3873" s="20"/>
      <c r="P3873" s="84"/>
      <c r="Q3873" s="174"/>
      <c r="R3873" s="178">
        <f>SUM(R3860:R3872)</f>
        <v>2152400</v>
      </c>
      <c r="S3873" s="177">
        <f>SUM(S3860:S3872)</f>
        <v>2754400</v>
      </c>
      <c r="W3873" s="31"/>
      <c r="X3873" s="131"/>
    </row>
    <row r="3874" spans="1:24" ht="15" hidden="1" x14ac:dyDescent="0.25">
      <c r="A3874" s="21">
        <v>2532021</v>
      </c>
      <c r="B3874" s="139" t="s">
        <v>3614</v>
      </c>
      <c r="C3874" s="140"/>
      <c r="D3874" s="141">
        <v>57130667</v>
      </c>
      <c r="E3874" s="141">
        <f>+D3874</f>
        <v>57130667</v>
      </c>
      <c r="F3874" s="141"/>
      <c r="G3874" s="141"/>
      <c r="H3874" s="141"/>
      <c r="I3874" s="141"/>
      <c r="J3874" s="141"/>
      <c r="K3874" s="141"/>
      <c r="L3874" s="141">
        <f>+D3874</f>
        <v>57130667</v>
      </c>
      <c r="M3874" s="142"/>
      <c r="N3874" s="142"/>
      <c r="O3874" s="149">
        <f>+VLOOKUP(A3874,'[1]ANEXO 7 - PPTO VIG 2021'!$H$8:$AB$160,21,)-L3885</f>
        <v>-178534</v>
      </c>
    </row>
    <row r="3875" spans="1:24" ht="15" hidden="1" x14ac:dyDescent="0.25">
      <c r="B3875" s="89">
        <v>44266.125</v>
      </c>
      <c r="C3875" s="92" t="s">
        <v>3615</v>
      </c>
      <c r="D3875" s="23"/>
      <c r="E3875" s="91">
        <v>3392133</v>
      </c>
      <c r="F3875" s="93"/>
      <c r="G3875" s="93">
        <f t="shared" ref="G3875:G3885" si="758">+E3875</f>
        <v>3392133</v>
      </c>
      <c r="H3875" s="94"/>
      <c r="I3875" s="94">
        <v>0</v>
      </c>
      <c r="J3875" s="91">
        <v>29032.45</v>
      </c>
      <c r="K3875" s="25">
        <f t="shared" ref="K3875:K3885" si="759">+G3875-H3875-I3875-J3875</f>
        <v>3363100.55</v>
      </c>
      <c r="L3875" s="95">
        <f t="shared" ref="L3875:L3880" si="760">+L3874-G3875</f>
        <v>53738534</v>
      </c>
      <c r="M3875" s="96"/>
      <c r="N3875" s="96"/>
      <c r="P3875" s="21">
        <v>7781215189</v>
      </c>
      <c r="Q3875" s="127">
        <v>44228</v>
      </c>
      <c r="R3875" s="3">
        <v>267800</v>
      </c>
      <c r="S3875" s="3">
        <v>342800</v>
      </c>
    </row>
    <row r="3876" spans="1:24" ht="15" hidden="1" x14ac:dyDescent="0.25">
      <c r="B3876" s="89">
        <v>44299.083333333336</v>
      </c>
      <c r="C3876" s="92" t="s">
        <v>3616</v>
      </c>
      <c r="D3876" s="23"/>
      <c r="E3876" s="91">
        <v>5356000</v>
      </c>
      <c r="F3876" s="93"/>
      <c r="G3876" s="93">
        <f t="shared" si="758"/>
        <v>5356000</v>
      </c>
      <c r="H3876" s="94"/>
      <c r="I3876" s="91">
        <v>19266.37</v>
      </c>
      <c r="J3876" s="91">
        <v>45840.72</v>
      </c>
      <c r="K3876" s="25">
        <f t="shared" si="759"/>
        <v>5290892.91</v>
      </c>
      <c r="L3876" s="95">
        <f t="shared" si="760"/>
        <v>48382534</v>
      </c>
      <c r="M3876" s="96"/>
      <c r="N3876" s="96"/>
      <c r="P3876" s="55">
        <v>7784580104</v>
      </c>
      <c r="Q3876" s="127">
        <v>44256</v>
      </c>
      <c r="R3876" s="14">
        <v>287800</v>
      </c>
      <c r="S3876" s="14">
        <v>342800</v>
      </c>
    </row>
    <row r="3877" spans="1:24" ht="15" hidden="1" x14ac:dyDescent="0.25">
      <c r="B3877" s="89">
        <v>44326.083333333336</v>
      </c>
      <c r="C3877" s="92" t="s">
        <v>3617</v>
      </c>
      <c r="D3877" s="23"/>
      <c r="E3877" s="91">
        <v>5356000</v>
      </c>
      <c r="F3877" s="93"/>
      <c r="G3877" s="93">
        <f t="shared" si="758"/>
        <v>5356000</v>
      </c>
      <c r="H3877" s="94"/>
      <c r="I3877" s="94">
        <v>19266.37</v>
      </c>
      <c r="J3877" s="91">
        <v>45840.72</v>
      </c>
      <c r="K3877" s="25">
        <f t="shared" si="759"/>
        <v>5290892.91</v>
      </c>
      <c r="L3877" s="95">
        <f t="shared" si="760"/>
        <v>43026534</v>
      </c>
      <c r="M3877" s="20">
        <v>5356000</v>
      </c>
      <c r="N3877" s="20">
        <f>+G3877-M3877</f>
        <v>0</v>
      </c>
      <c r="P3877" s="55">
        <v>7785538160</v>
      </c>
      <c r="Q3877" s="127">
        <v>44287</v>
      </c>
      <c r="R3877" s="14">
        <v>287800</v>
      </c>
      <c r="S3877" s="14">
        <v>342800</v>
      </c>
    </row>
    <row r="3878" spans="1:24" ht="15" hidden="1" x14ac:dyDescent="0.25">
      <c r="B3878" s="89">
        <v>44370.083333333336</v>
      </c>
      <c r="C3878" s="92" t="s">
        <v>3618</v>
      </c>
      <c r="D3878" s="23"/>
      <c r="E3878" s="91">
        <v>5356000</v>
      </c>
      <c r="F3878" s="93"/>
      <c r="G3878" s="93">
        <f t="shared" si="758"/>
        <v>5356000</v>
      </c>
      <c r="H3878" s="94"/>
      <c r="I3878" s="94">
        <v>19266.37</v>
      </c>
      <c r="J3878" s="91">
        <v>45840.72</v>
      </c>
      <c r="K3878" s="25">
        <f t="shared" si="759"/>
        <v>5290892.91</v>
      </c>
      <c r="L3878" s="95">
        <f t="shared" si="760"/>
        <v>37670534</v>
      </c>
      <c r="M3878" s="20"/>
      <c r="N3878" s="20"/>
      <c r="P3878" s="84">
        <v>7789268478</v>
      </c>
      <c r="Q3878" s="174">
        <v>44317</v>
      </c>
      <c r="R3878" s="14">
        <v>287800</v>
      </c>
      <c r="S3878" s="14">
        <v>342800</v>
      </c>
    </row>
    <row r="3879" spans="1:24" ht="15" hidden="1" x14ac:dyDescent="0.25">
      <c r="B3879" s="89">
        <v>44385.083333333336</v>
      </c>
      <c r="C3879" s="92" t="s">
        <v>3619</v>
      </c>
      <c r="D3879" s="23"/>
      <c r="E3879" s="91">
        <v>5356000</v>
      </c>
      <c r="F3879" s="93"/>
      <c r="G3879" s="93">
        <f t="shared" si="758"/>
        <v>5356000</v>
      </c>
      <c r="H3879" s="94"/>
      <c r="I3879" s="94">
        <v>19266.37</v>
      </c>
      <c r="J3879" s="91">
        <v>45840.72</v>
      </c>
      <c r="K3879" s="25">
        <f t="shared" si="759"/>
        <v>5290892.91</v>
      </c>
      <c r="L3879" s="95">
        <f t="shared" si="760"/>
        <v>32314534</v>
      </c>
      <c r="M3879" s="20"/>
      <c r="N3879" s="20"/>
      <c r="P3879" s="84">
        <v>7801709569</v>
      </c>
      <c r="Q3879" s="174">
        <v>44348</v>
      </c>
      <c r="R3879" s="14">
        <v>267800</v>
      </c>
      <c r="S3879" s="14">
        <v>342800</v>
      </c>
    </row>
    <row r="3880" spans="1:24" ht="15" hidden="1" x14ac:dyDescent="0.25">
      <c r="B3880" s="89">
        <v>44418.083333333336</v>
      </c>
      <c r="C3880" s="92" t="s">
        <v>3620</v>
      </c>
      <c r="D3880" s="23"/>
      <c r="E3880" s="91">
        <v>5356000</v>
      </c>
      <c r="F3880" s="93"/>
      <c r="G3880" s="93">
        <f t="shared" si="758"/>
        <v>5356000</v>
      </c>
      <c r="H3880" s="94"/>
      <c r="I3880" s="94">
        <v>19266.37</v>
      </c>
      <c r="J3880" s="91">
        <v>45840.72</v>
      </c>
      <c r="K3880" s="25">
        <f t="shared" si="759"/>
        <v>5290892.91</v>
      </c>
      <c r="L3880" s="95">
        <f t="shared" si="760"/>
        <v>26958534</v>
      </c>
      <c r="M3880" s="20"/>
      <c r="N3880" s="20"/>
      <c r="P3880" s="84">
        <v>7805027731</v>
      </c>
      <c r="Q3880" s="174">
        <v>44378</v>
      </c>
      <c r="R3880" s="14">
        <v>267800</v>
      </c>
      <c r="S3880" s="14">
        <v>342800</v>
      </c>
      <c r="W3880" s="31">
        <v>5356000</v>
      </c>
      <c r="X3880" s="131">
        <f>+E3880-W3880</f>
        <v>0</v>
      </c>
    </row>
    <row r="3881" spans="1:24" ht="15" hidden="1" x14ac:dyDescent="0.25">
      <c r="B3881" s="89">
        <v>44445.083333333336</v>
      </c>
      <c r="C3881" s="92" t="s">
        <v>3621</v>
      </c>
      <c r="D3881" s="23"/>
      <c r="E3881" s="91">
        <v>5356000</v>
      </c>
      <c r="F3881" s="93"/>
      <c r="G3881" s="93">
        <f t="shared" si="758"/>
        <v>5356000</v>
      </c>
      <c r="H3881" s="94"/>
      <c r="I3881" s="94">
        <v>19266.37</v>
      </c>
      <c r="J3881" s="91">
        <v>45840.72</v>
      </c>
      <c r="K3881" s="25">
        <f t="shared" si="759"/>
        <v>5290892.91</v>
      </c>
      <c r="L3881" s="95">
        <f>+L3880-G3881</f>
        <v>21602534</v>
      </c>
      <c r="M3881" s="20"/>
      <c r="N3881" s="20"/>
      <c r="P3881" s="84">
        <v>7808342024</v>
      </c>
      <c r="Q3881" s="174">
        <v>44409</v>
      </c>
      <c r="R3881" s="14">
        <v>267800</v>
      </c>
      <c r="S3881" s="14">
        <v>342800</v>
      </c>
      <c r="W3881" s="31"/>
      <c r="X3881" s="131"/>
    </row>
    <row r="3882" spans="1:24" ht="15" hidden="1" x14ac:dyDescent="0.25">
      <c r="B3882" s="89">
        <v>44481.083333333336</v>
      </c>
      <c r="C3882" s="92" t="s">
        <v>3622</v>
      </c>
      <c r="D3882" s="23"/>
      <c r="E3882" s="91">
        <v>5356000</v>
      </c>
      <c r="F3882" s="93"/>
      <c r="G3882" s="93">
        <f t="shared" si="758"/>
        <v>5356000</v>
      </c>
      <c r="H3882" s="94"/>
      <c r="I3882" s="94">
        <v>19266.37</v>
      </c>
      <c r="J3882" s="91">
        <v>45840.72</v>
      </c>
      <c r="K3882" s="25">
        <f t="shared" si="759"/>
        <v>5290892.91</v>
      </c>
      <c r="L3882" s="95">
        <f>+L3881-G3882</f>
        <v>16246534</v>
      </c>
      <c r="M3882" s="20"/>
      <c r="N3882" s="20"/>
      <c r="P3882" s="84">
        <v>7811651216</v>
      </c>
      <c r="Q3882" s="174">
        <v>44440</v>
      </c>
      <c r="R3882" s="14">
        <v>267800</v>
      </c>
      <c r="S3882" s="14">
        <v>342800</v>
      </c>
      <c r="W3882" s="31"/>
      <c r="X3882" s="131"/>
    </row>
    <row r="3883" spans="1:24" ht="15" hidden="1" x14ac:dyDescent="0.25">
      <c r="B3883" s="89">
        <v>44510.125</v>
      </c>
      <c r="C3883" s="92" t="s">
        <v>3623</v>
      </c>
      <c r="D3883" s="23"/>
      <c r="E3883" s="91">
        <v>5356000</v>
      </c>
      <c r="F3883" s="93"/>
      <c r="G3883" s="93">
        <f t="shared" si="758"/>
        <v>5356000</v>
      </c>
      <c r="H3883" s="94"/>
      <c r="I3883" s="94">
        <v>19266.37</v>
      </c>
      <c r="J3883" s="91">
        <v>45840.72</v>
      </c>
      <c r="K3883" s="25">
        <f t="shared" si="759"/>
        <v>5290892.91</v>
      </c>
      <c r="L3883" s="95">
        <f>+L3882-G3883</f>
        <v>10890534</v>
      </c>
      <c r="M3883" s="20"/>
      <c r="N3883" s="20"/>
      <c r="P3883" s="84">
        <v>7814891994</v>
      </c>
      <c r="Q3883" s="174">
        <v>44470</v>
      </c>
      <c r="R3883" s="14">
        <v>267800</v>
      </c>
      <c r="S3883" s="14">
        <v>342800</v>
      </c>
      <c r="W3883" s="31"/>
      <c r="X3883" s="131"/>
    </row>
    <row r="3884" spans="1:24" ht="15" hidden="1" x14ac:dyDescent="0.25">
      <c r="B3884" s="89">
        <v>44540.125</v>
      </c>
      <c r="C3884" s="92" t="s">
        <v>3624</v>
      </c>
      <c r="D3884" s="23"/>
      <c r="E3884" s="91">
        <v>5356000</v>
      </c>
      <c r="F3884" s="93"/>
      <c r="G3884" s="93">
        <f t="shared" si="758"/>
        <v>5356000</v>
      </c>
      <c r="H3884" s="94"/>
      <c r="I3884" s="94">
        <v>19266.37</v>
      </c>
      <c r="J3884" s="91">
        <v>45840.72</v>
      </c>
      <c r="K3884" s="25">
        <f t="shared" si="759"/>
        <v>5290892.91</v>
      </c>
      <c r="L3884" s="95">
        <f>+L3883-G3884</f>
        <v>5534534</v>
      </c>
      <c r="M3884" s="20"/>
      <c r="N3884" s="20"/>
      <c r="P3884" s="84">
        <v>7818654679</v>
      </c>
      <c r="Q3884" s="174">
        <v>44501</v>
      </c>
      <c r="R3884" s="14">
        <v>267800</v>
      </c>
      <c r="S3884" s="14">
        <v>342800</v>
      </c>
      <c r="W3884" s="31"/>
      <c r="X3884" s="131"/>
    </row>
    <row r="3885" spans="1:24" ht="15" hidden="1" x14ac:dyDescent="0.25">
      <c r="B3885" s="89">
        <v>44564.125</v>
      </c>
      <c r="C3885" s="92" t="s">
        <v>3625</v>
      </c>
      <c r="D3885" s="23"/>
      <c r="E3885" s="91">
        <v>5356000</v>
      </c>
      <c r="F3885" s="93"/>
      <c r="G3885" s="93">
        <f t="shared" si="758"/>
        <v>5356000</v>
      </c>
      <c r="H3885" s="94"/>
      <c r="I3885" s="94">
        <v>19266.37</v>
      </c>
      <c r="J3885" s="91">
        <v>45840.72</v>
      </c>
      <c r="K3885" s="25">
        <f t="shared" si="759"/>
        <v>5290892.91</v>
      </c>
      <c r="L3885" s="95">
        <f>+L3884-G3885</f>
        <v>178534</v>
      </c>
      <c r="M3885" s="20"/>
      <c r="N3885" s="20"/>
      <c r="P3885" s="84"/>
      <c r="Q3885" s="174"/>
      <c r="R3885" s="125"/>
      <c r="S3885" s="125"/>
      <c r="W3885" s="31"/>
      <c r="X3885" s="131"/>
    </row>
    <row r="3886" spans="1:24" ht="15" hidden="1" x14ac:dyDescent="0.25">
      <c r="A3886" s="21">
        <v>192021</v>
      </c>
      <c r="B3886" s="139" t="s">
        <v>3626</v>
      </c>
      <c r="C3886" s="140"/>
      <c r="D3886" s="141">
        <v>62486667</v>
      </c>
      <c r="E3886" s="141">
        <f>+D3886</f>
        <v>62486667</v>
      </c>
      <c r="F3886" s="141"/>
      <c r="G3886" s="141"/>
      <c r="H3886" s="141"/>
      <c r="I3886" s="141"/>
      <c r="J3886" s="141"/>
      <c r="K3886" s="141"/>
      <c r="L3886" s="141">
        <f>+D3886</f>
        <v>62486667</v>
      </c>
      <c r="M3886" s="142"/>
      <c r="N3886" s="142"/>
      <c r="O3886" s="149">
        <f>+VLOOKUP(A3886,'[1]ANEXO 7 - PPTO VIG 2021'!$H$8:$AB$160,21,)-L3898</f>
        <v>-178534</v>
      </c>
    </row>
    <row r="3887" spans="1:24" ht="15" hidden="1" x14ac:dyDescent="0.25">
      <c r="B3887" s="89">
        <v>44257.125</v>
      </c>
      <c r="C3887" s="92" t="s">
        <v>3627</v>
      </c>
      <c r="D3887" s="23"/>
      <c r="E3887" s="91">
        <v>3392133</v>
      </c>
      <c r="F3887" s="93"/>
      <c r="G3887" s="93">
        <f t="shared" ref="G3887:G3898" si="761">+E3887</f>
        <v>3392133</v>
      </c>
      <c r="H3887" s="94"/>
      <c r="I3887" s="94">
        <v>0</v>
      </c>
      <c r="J3887" s="91">
        <v>29032.45</v>
      </c>
      <c r="K3887" s="25">
        <f t="shared" ref="K3887:K3898" si="762">+G3887-H3887-I3887-J3887</f>
        <v>3363100.55</v>
      </c>
      <c r="L3887" s="95">
        <f t="shared" ref="L3887:L3898" si="763">+L3886-G3887</f>
        <v>59094534</v>
      </c>
      <c r="M3887" s="96"/>
      <c r="N3887" s="96"/>
      <c r="P3887" s="21">
        <v>9413800651</v>
      </c>
      <c r="Q3887" s="127">
        <v>44166</v>
      </c>
      <c r="R3887" s="14">
        <v>260000</v>
      </c>
      <c r="S3887" s="14">
        <v>332800</v>
      </c>
      <c r="T3887" s="3">
        <f>+L3886-178534</f>
        <v>62308133</v>
      </c>
      <c r="U3887" s="3">
        <f>+T3887*40%</f>
        <v>24923253.200000003</v>
      </c>
    </row>
    <row r="3888" spans="1:24" ht="15" hidden="1" x14ac:dyDescent="0.25">
      <c r="B3888" s="89">
        <v>44278.083333333336</v>
      </c>
      <c r="C3888" s="92" t="s">
        <v>3628</v>
      </c>
      <c r="D3888" s="23"/>
      <c r="E3888" s="91">
        <v>5356000</v>
      </c>
      <c r="F3888" s="93"/>
      <c r="G3888" s="93">
        <f t="shared" si="761"/>
        <v>5356000</v>
      </c>
      <c r="H3888" s="94"/>
      <c r="I3888" s="94"/>
      <c r="J3888" s="91">
        <v>45840.72</v>
      </c>
      <c r="K3888" s="25">
        <f t="shared" si="762"/>
        <v>5310159.28</v>
      </c>
      <c r="L3888" s="95">
        <f t="shared" si="763"/>
        <v>53738534</v>
      </c>
      <c r="M3888" s="96"/>
      <c r="N3888" s="96"/>
      <c r="P3888" s="21">
        <v>9416098121</v>
      </c>
      <c r="Q3888" s="127">
        <v>44197</v>
      </c>
      <c r="R3888" s="14">
        <v>267800</v>
      </c>
      <c r="S3888" s="14">
        <v>342800</v>
      </c>
    </row>
    <row r="3889" spans="1:24" ht="15" hidden="1" x14ac:dyDescent="0.25">
      <c r="B3889" s="89">
        <v>44295.083333333336</v>
      </c>
      <c r="C3889" s="184" t="s">
        <v>3629</v>
      </c>
      <c r="D3889" s="23"/>
      <c r="E3889" s="91">
        <v>5356000</v>
      </c>
      <c r="F3889" s="93"/>
      <c r="G3889" s="93">
        <f t="shared" si="761"/>
        <v>5356000</v>
      </c>
      <c r="H3889" s="94"/>
      <c r="I3889" s="94"/>
      <c r="J3889" s="91">
        <v>45840.72</v>
      </c>
      <c r="K3889" s="25">
        <f t="shared" si="762"/>
        <v>5310159.28</v>
      </c>
      <c r="L3889" s="95">
        <f t="shared" si="763"/>
        <v>48382534</v>
      </c>
      <c r="M3889" s="96"/>
      <c r="N3889" s="96"/>
      <c r="P3889" s="55">
        <v>9417318824</v>
      </c>
      <c r="Q3889" s="127">
        <v>44228</v>
      </c>
      <c r="R3889" s="14">
        <v>267800</v>
      </c>
      <c r="S3889" s="14">
        <v>342800</v>
      </c>
      <c r="U3889" s="3">
        <f>+U3887*12.5%</f>
        <v>3115406.6500000004</v>
      </c>
      <c r="V3889" s="173" t="s">
        <v>2769</v>
      </c>
    </row>
    <row r="3890" spans="1:24" ht="15" hidden="1" x14ac:dyDescent="0.25">
      <c r="B3890" s="89">
        <v>44322.083333333336</v>
      </c>
      <c r="C3890" s="92" t="s">
        <v>3630</v>
      </c>
      <c r="D3890" s="23"/>
      <c r="E3890" s="91">
        <v>5356000</v>
      </c>
      <c r="F3890" s="93"/>
      <c r="G3890" s="93">
        <f t="shared" si="761"/>
        <v>5356000</v>
      </c>
      <c r="H3890" s="94"/>
      <c r="I3890" s="94"/>
      <c r="J3890" s="91">
        <v>45840.72</v>
      </c>
      <c r="K3890" s="25">
        <f t="shared" si="762"/>
        <v>5310159.28</v>
      </c>
      <c r="L3890" s="95">
        <f t="shared" si="763"/>
        <v>43026534</v>
      </c>
      <c r="M3890" s="20">
        <v>5356000</v>
      </c>
      <c r="N3890" s="20">
        <f>+G3890-M3890</f>
        <v>0</v>
      </c>
      <c r="P3890" s="55">
        <v>9418398973</v>
      </c>
      <c r="Q3890" s="127">
        <v>44256</v>
      </c>
      <c r="R3890" s="14">
        <v>267800</v>
      </c>
      <c r="S3890" s="14">
        <v>342800</v>
      </c>
      <c r="U3890" s="3">
        <f>+U3887*16%</f>
        <v>3987720.5120000006</v>
      </c>
      <c r="V3890" s="172" t="s">
        <v>2771</v>
      </c>
    </row>
    <row r="3891" spans="1:24" ht="15" hidden="1" x14ac:dyDescent="0.25">
      <c r="B3891" s="89">
        <v>44369.083333333336</v>
      </c>
      <c r="C3891" s="92" t="s">
        <v>3631</v>
      </c>
      <c r="D3891" s="23"/>
      <c r="E3891" s="91">
        <v>5356000</v>
      </c>
      <c r="F3891" s="93"/>
      <c r="G3891" s="93">
        <f t="shared" si="761"/>
        <v>5356000</v>
      </c>
      <c r="H3891" s="94"/>
      <c r="I3891" s="94"/>
      <c r="J3891" s="91">
        <v>45840.72</v>
      </c>
      <c r="K3891" s="25">
        <f t="shared" si="762"/>
        <v>5310159.28</v>
      </c>
      <c r="L3891" s="95">
        <f t="shared" si="763"/>
        <v>37670534</v>
      </c>
      <c r="M3891" s="20"/>
      <c r="N3891" s="20"/>
      <c r="P3891" s="84">
        <v>9419412964</v>
      </c>
      <c r="Q3891" s="174">
        <v>44287</v>
      </c>
      <c r="R3891" s="14">
        <v>267800</v>
      </c>
      <c r="S3891" s="14">
        <v>342800</v>
      </c>
    </row>
    <row r="3892" spans="1:24" ht="15" hidden="1" x14ac:dyDescent="0.25">
      <c r="B3892" s="89">
        <v>44386.083333333336</v>
      </c>
      <c r="C3892" s="92" t="s">
        <v>3632</v>
      </c>
      <c r="D3892" s="23"/>
      <c r="E3892" s="91">
        <v>5356000</v>
      </c>
      <c r="F3892" s="93"/>
      <c r="G3892" s="93">
        <f t="shared" si="761"/>
        <v>5356000</v>
      </c>
      <c r="H3892" s="94"/>
      <c r="I3892" s="94"/>
      <c r="J3892" s="91">
        <v>45840.72</v>
      </c>
      <c r="K3892" s="25">
        <f t="shared" si="762"/>
        <v>5310159.28</v>
      </c>
      <c r="L3892" s="95">
        <f t="shared" si="763"/>
        <v>32314534</v>
      </c>
      <c r="M3892" s="20"/>
      <c r="N3892" s="20"/>
      <c r="P3892" s="84">
        <v>9420753830</v>
      </c>
      <c r="Q3892" s="174">
        <v>44317</v>
      </c>
      <c r="R3892" s="14">
        <v>267800</v>
      </c>
      <c r="S3892" s="14">
        <v>342800</v>
      </c>
    </row>
    <row r="3893" spans="1:24" ht="15" hidden="1" x14ac:dyDescent="0.25">
      <c r="B3893" s="89">
        <v>44418.083333333336</v>
      </c>
      <c r="C3893" s="92" t="s">
        <v>3633</v>
      </c>
      <c r="D3893" s="23"/>
      <c r="E3893" s="91">
        <v>5356000</v>
      </c>
      <c r="F3893" s="93"/>
      <c r="G3893" s="93">
        <f t="shared" si="761"/>
        <v>5356000</v>
      </c>
      <c r="H3893" s="94"/>
      <c r="I3893" s="94"/>
      <c r="J3893" s="91">
        <v>45840.72</v>
      </c>
      <c r="K3893" s="25">
        <f t="shared" si="762"/>
        <v>5310159.28</v>
      </c>
      <c r="L3893" s="95">
        <f t="shared" si="763"/>
        <v>26958534</v>
      </c>
      <c r="M3893" s="20"/>
      <c r="N3893" s="20"/>
      <c r="P3893" s="84">
        <v>9421858933</v>
      </c>
      <c r="Q3893" s="174">
        <v>44348</v>
      </c>
      <c r="R3893" s="125">
        <v>267800</v>
      </c>
      <c r="S3893" s="125">
        <v>342800</v>
      </c>
      <c r="W3893" s="31">
        <v>5356000</v>
      </c>
      <c r="X3893" s="131">
        <f>+E3893-W3893</f>
        <v>0</v>
      </c>
    </row>
    <row r="3894" spans="1:24" ht="15" hidden="1" x14ac:dyDescent="0.25">
      <c r="B3894" s="89">
        <v>44452.083333333336</v>
      </c>
      <c r="C3894" s="92" t="s">
        <v>3634</v>
      </c>
      <c r="D3894" s="23"/>
      <c r="E3894" s="91">
        <v>5356000</v>
      </c>
      <c r="F3894" s="93"/>
      <c r="G3894" s="93">
        <f t="shared" si="761"/>
        <v>5356000</v>
      </c>
      <c r="H3894" s="94"/>
      <c r="I3894" s="94"/>
      <c r="J3894" s="91">
        <v>45840.72</v>
      </c>
      <c r="K3894" s="25">
        <f t="shared" si="762"/>
        <v>5310159.28</v>
      </c>
      <c r="L3894" s="95">
        <f t="shared" si="763"/>
        <v>21602534</v>
      </c>
      <c r="M3894" s="20"/>
      <c r="N3894" s="20"/>
      <c r="P3894" s="84">
        <v>9423174314</v>
      </c>
      <c r="Q3894" s="174">
        <v>44378</v>
      </c>
      <c r="R3894" s="125">
        <v>267800</v>
      </c>
      <c r="S3894" s="125">
        <v>342800</v>
      </c>
      <c r="W3894" s="31"/>
      <c r="X3894" s="131"/>
    </row>
    <row r="3895" spans="1:24" ht="15" hidden="1" x14ac:dyDescent="0.25">
      <c r="B3895" s="89">
        <v>44482.083333333336</v>
      </c>
      <c r="C3895" s="92" t="s">
        <v>3635</v>
      </c>
      <c r="D3895" s="23"/>
      <c r="E3895" s="91">
        <v>5356000</v>
      </c>
      <c r="F3895" s="93"/>
      <c r="G3895" s="93">
        <f t="shared" si="761"/>
        <v>5356000</v>
      </c>
      <c r="H3895" s="94"/>
      <c r="I3895" s="94"/>
      <c r="J3895" s="91">
        <v>45840.72</v>
      </c>
      <c r="K3895" s="25">
        <f t="shared" si="762"/>
        <v>5310159.28</v>
      </c>
      <c r="L3895" s="95">
        <f t="shared" si="763"/>
        <v>16246534</v>
      </c>
      <c r="M3895" s="20"/>
      <c r="N3895" s="20"/>
      <c r="P3895" s="84">
        <v>9424281140</v>
      </c>
      <c r="Q3895" s="174">
        <v>44409</v>
      </c>
      <c r="R3895" s="125">
        <v>267800</v>
      </c>
      <c r="S3895" s="125">
        <v>342800</v>
      </c>
      <c r="W3895" s="31"/>
      <c r="X3895" s="131"/>
    </row>
    <row r="3896" spans="1:24" ht="15" hidden="1" x14ac:dyDescent="0.25">
      <c r="B3896" s="89">
        <v>44511.125</v>
      </c>
      <c r="C3896" s="92" t="s">
        <v>3636</v>
      </c>
      <c r="D3896" s="23"/>
      <c r="E3896" s="91">
        <v>5356000</v>
      </c>
      <c r="F3896" s="93"/>
      <c r="G3896" s="93">
        <f t="shared" si="761"/>
        <v>5356000</v>
      </c>
      <c r="H3896" s="94"/>
      <c r="I3896" s="94"/>
      <c r="J3896" s="91">
        <v>45840.72</v>
      </c>
      <c r="K3896" s="25">
        <f t="shared" si="762"/>
        <v>5310159.28</v>
      </c>
      <c r="L3896" s="95">
        <f t="shared" si="763"/>
        <v>10890534</v>
      </c>
      <c r="M3896" s="20"/>
      <c r="N3896" s="20"/>
      <c r="P3896" s="84">
        <v>9425410860</v>
      </c>
      <c r="Q3896" s="174">
        <v>44440</v>
      </c>
      <c r="R3896" s="125">
        <v>267800</v>
      </c>
      <c r="S3896" s="125">
        <v>342800</v>
      </c>
      <c r="W3896" s="31"/>
      <c r="X3896" s="131"/>
    </row>
    <row r="3897" spans="1:24" ht="15" hidden="1" x14ac:dyDescent="0.25">
      <c r="B3897" s="89">
        <v>44539.125</v>
      </c>
      <c r="C3897" s="92" t="s">
        <v>3637</v>
      </c>
      <c r="D3897" s="23"/>
      <c r="E3897" s="91">
        <v>5356000</v>
      </c>
      <c r="F3897" s="93"/>
      <c r="G3897" s="93">
        <f t="shared" si="761"/>
        <v>5356000</v>
      </c>
      <c r="H3897" s="94"/>
      <c r="I3897" s="94"/>
      <c r="J3897" s="91">
        <v>45840.72</v>
      </c>
      <c r="K3897" s="25">
        <f t="shared" si="762"/>
        <v>5310159.28</v>
      </c>
      <c r="L3897" s="95">
        <f t="shared" si="763"/>
        <v>5534534</v>
      </c>
      <c r="M3897" s="20"/>
      <c r="N3897" s="20"/>
      <c r="P3897" s="84">
        <v>9426793476</v>
      </c>
      <c r="Q3897" s="174">
        <v>44470</v>
      </c>
      <c r="R3897" s="125">
        <v>267800</v>
      </c>
      <c r="S3897" s="125">
        <v>342800</v>
      </c>
      <c r="W3897" s="31"/>
      <c r="X3897" s="131"/>
    </row>
    <row r="3898" spans="1:24" ht="15" hidden="1" x14ac:dyDescent="0.25">
      <c r="B3898" s="89">
        <v>44553.125</v>
      </c>
      <c r="C3898" s="92" t="s">
        <v>3638</v>
      </c>
      <c r="D3898" s="23"/>
      <c r="E3898" s="91">
        <v>5356000</v>
      </c>
      <c r="F3898" s="93"/>
      <c r="G3898" s="93">
        <f t="shared" si="761"/>
        <v>5356000</v>
      </c>
      <c r="H3898" s="94"/>
      <c r="I3898" s="94"/>
      <c r="J3898" s="91">
        <v>45840.72</v>
      </c>
      <c r="K3898" s="25">
        <f t="shared" si="762"/>
        <v>5310159.28</v>
      </c>
      <c r="L3898" s="95">
        <f t="shared" si="763"/>
        <v>178534</v>
      </c>
      <c r="M3898" s="20"/>
      <c r="N3898" s="20"/>
      <c r="P3898" s="84">
        <v>9427927550</v>
      </c>
      <c r="Q3898" s="174">
        <v>44501</v>
      </c>
      <c r="R3898" s="125">
        <v>267800</v>
      </c>
      <c r="S3898" s="125">
        <v>342800</v>
      </c>
      <c r="W3898" s="31"/>
      <c r="X3898" s="131"/>
    </row>
    <row r="3899" spans="1:24" ht="15" hidden="1" x14ac:dyDescent="0.25">
      <c r="B3899" s="89"/>
      <c r="C3899" s="92"/>
      <c r="D3899" s="23"/>
      <c r="E3899" s="91"/>
      <c r="F3899" s="93"/>
      <c r="G3899" s="93"/>
      <c r="H3899" s="94"/>
      <c r="I3899" s="94"/>
      <c r="J3899" s="91"/>
      <c r="K3899" s="25"/>
      <c r="L3899" s="95"/>
      <c r="M3899" s="20"/>
      <c r="N3899" s="20"/>
      <c r="P3899" s="84">
        <v>9428240982</v>
      </c>
      <c r="Q3899" s="174">
        <v>44531</v>
      </c>
      <c r="R3899" s="125">
        <v>267800</v>
      </c>
      <c r="S3899" s="125">
        <v>342800</v>
      </c>
      <c r="W3899" s="31"/>
      <c r="X3899" s="131"/>
    </row>
    <row r="3900" spans="1:24" ht="15" hidden="1" x14ac:dyDescent="0.25">
      <c r="B3900" s="89"/>
      <c r="C3900" s="92"/>
      <c r="D3900" s="23"/>
      <c r="E3900" s="91"/>
      <c r="F3900" s="93"/>
      <c r="G3900" s="93"/>
      <c r="H3900" s="94"/>
      <c r="I3900" s="94"/>
      <c r="J3900" s="91"/>
      <c r="K3900" s="25"/>
      <c r="L3900" s="95"/>
      <c r="M3900" s="20"/>
      <c r="N3900" s="20"/>
      <c r="P3900" s="84"/>
      <c r="Q3900" s="174"/>
      <c r="R3900" s="178">
        <f>SUM(R3887:R3899)</f>
        <v>3473600</v>
      </c>
      <c r="S3900" s="177">
        <f>SUM(S3887:S3899)</f>
        <v>4446400</v>
      </c>
      <c r="W3900" s="31"/>
      <c r="X3900" s="131"/>
    </row>
    <row r="3901" spans="1:24" ht="15" hidden="1" x14ac:dyDescent="0.25">
      <c r="A3901" s="21">
        <v>2442021</v>
      </c>
      <c r="B3901" s="139" t="s">
        <v>3639</v>
      </c>
      <c r="C3901" s="140"/>
      <c r="D3901" s="141">
        <v>85333333</v>
      </c>
      <c r="E3901" s="141">
        <f>+D3901</f>
        <v>85333333</v>
      </c>
      <c r="F3901" s="141"/>
      <c r="G3901" s="141"/>
      <c r="H3901" s="141"/>
      <c r="I3901" s="141"/>
      <c r="J3901" s="141"/>
      <c r="K3901" s="141"/>
      <c r="L3901" s="141">
        <f>+D3901</f>
        <v>85333333</v>
      </c>
      <c r="M3901" s="142"/>
      <c r="N3901" s="142"/>
      <c r="O3901" s="149">
        <f>+VLOOKUP(A3901,'[1]ANEXO 7 - PPTO VIG 2021'!$H$8:$AB$160,21,)-L3911</f>
        <v>0</v>
      </c>
      <c r="R3901" s="21"/>
      <c r="S3901" s="21"/>
    </row>
    <row r="3902" spans="1:24" ht="15" hidden="1" x14ac:dyDescent="0.25">
      <c r="B3902" s="89">
        <v>44298.083333333336</v>
      </c>
      <c r="C3902" s="92" t="s">
        <v>3640</v>
      </c>
      <c r="D3902" s="23"/>
      <c r="E3902" s="91">
        <v>5066667</v>
      </c>
      <c r="F3902" s="93"/>
      <c r="G3902" s="93">
        <f t="shared" ref="G3902:G3911" si="764">+E3902</f>
        <v>5066667</v>
      </c>
      <c r="H3902" s="94">
        <v>121344.55</v>
      </c>
      <c r="I3902" s="94">
        <v>0</v>
      </c>
      <c r="J3902" s="91">
        <v>36440.660000000003</v>
      </c>
      <c r="K3902" s="25">
        <f t="shared" ref="K3902:K3911" si="765">+G3902-H3902-I3902-J3902</f>
        <v>4908881.79</v>
      </c>
      <c r="L3902" s="95">
        <f t="shared" ref="L3902:L3907" si="766">+L3901-G3902</f>
        <v>80266666</v>
      </c>
      <c r="M3902" s="96"/>
      <c r="N3902" s="96"/>
      <c r="P3902" s="55">
        <v>1035076509</v>
      </c>
      <c r="Q3902" s="127">
        <v>44228</v>
      </c>
      <c r="R3902" s="14">
        <v>350000</v>
      </c>
      <c r="S3902" s="14">
        <v>448000</v>
      </c>
    </row>
    <row r="3903" spans="1:24" ht="15" hidden="1" x14ac:dyDescent="0.25">
      <c r="B3903" s="89">
        <v>44298.083333333336</v>
      </c>
      <c r="C3903" s="92" t="s">
        <v>3641</v>
      </c>
      <c r="D3903" s="23"/>
      <c r="E3903" s="91">
        <v>8000000</v>
      </c>
      <c r="F3903" s="93"/>
      <c r="G3903" s="93">
        <f t="shared" si="764"/>
        <v>8000000</v>
      </c>
      <c r="H3903" s="94">
        <v>191596.64</v>
      </c>
      <c r="I3903" s="94">
        <v>95520.65</v>
      </c>
      <c r="J3903" s="91">
        <v>57537.88</v>
      </c>
      <c r="K3903" s="25">
        <f t="shared" si="765"/>
        <v>7655344.8300000001</v>
      </c>
      <c r="L3903" s="95">
        <f t="shared" si="766"/>
        <v>72266666</v>
      </c>
      <c r="M3903" s="96"/>
      <c r="N3903" s="96"/>
      <c r="P3903" s="55">
        <v>1036525546</v>
      </c>
      <c r="Q3903" s="127">
        <v>44256</v>
      </c>
      <c r="R3903" s="14">
        <v>350000</v>
      </c>
      <c r="S3903" s="14">
        <v>448000</v>
      </c>
    </row>
    <row r="3904" spans="1:24" ht="15" hidden="1" x14ac:dyDescent="0.25">
      <c r="B3904" s="89">
        <v>44321.083333333336</v>
      </c>
      <c r="C3904" s="200" t="s">
        <v>3642</v>
      </c>
      <c r="E3904" s="138">
        <v>8000000</v>
      </c>
      <c r="G3904" s="93">
        <f t="shared" si="764"/>
        <v>8000000</v>
      </c>
      <c r="H3904" s="61">
        <v>191596.64</v>
      </c>
      <c r="I3904" s="61">
        <v>95520.65</v>
      </c>
      <c r="J3904" s="61">
        <v>57537.88</v>
      </c>
      <c r="K3904" s="25">
        <f t="shared" si="765"/>
        <v>7655344.8300000001</v>
      </c>
      <c r="L3904" s="95">
        <f t="shared" si="766"/>
        <v>64266666</v>
      </c>
      <c r="M3904" s="20">
        <v>8000000</v>
      </c>
      <c r="N3904" s="20">
        <f>+G3904-M3904</f>
        <v>0</v>
      </c>
      <c r="P3904" s="55">
        <v>1636664686</v>
      </c>
      <c r="Q3904" s="127">
        <v>44287</v>
      </c>
      <c r="R3904" s="14">
        <v>350000</v>
      </c>
      <c r="S3904" s="14">
        <v>448000</v>
      </c>
    </row>
    <row r="3905" spans="1:24" ht="15" hidden="1" x14ac:dyDescent="0.25">
      <c r="B3905" s="89">
        <v>44349.083333333336</v>
      </c>
      <c r="C3905" s="200" t="s">
        <v>3643</v>
      </c>
      <c r="E3905" s="138">
        <v>8000000</v>
      </c>
      <c r="G3905" s="93">
        <f t="shared" si="764"/>
        <v>8000000</v>
      </c>
      <c r="H3905" s="61">
        <v>191596.64</v>
      </c>
      <c r="I3905" s="61">
        <v>95520.65</v>
      </c>
      <c r="J3905" s="61">
        <v>57537.88</v>
      </c>
      <c r="K3905" s="25">
        <f t="shared" si="765"/>
        <v>7655344.8300000001</v>
      </c>
      <c r="L3905" s="95">
        <f t="shared" si="766"/>
        <v>56266666</v>
      </c>
      <c r="M3905" s="20"/>
      <c r="N3905" s="20"/>
      <c r="P3905" s="84">
        <v>1037337599</v>
      </c>
      <c r="Q3905" s="174">
        <v>44317</v>
      </c>
      <c r="R3905" s="125">
        <v>350000</v>
      </c>
      <c r="S3905" s="125">
        <v>448000</v>
      </c>
    </row>
    <row r="3906" spans="1:24" ht="15" hidden="1" x14ac:dyDescent="0.25">
      <c r="B3906" s="89">
        <v>44383.083333333336</v>
      </c>
      <c r="C3906" s="200" t="s">
        <v>3644</v>
      </c>
      <c r="E3906" s="138">
        <v>8000000</v>
      </c>
      <c r="G3906" s="93">
        <f t="shared" si="764"/>
        <v>8000000</v>
      </c>
      <c r="H3906" s="61">
        <v>191596.64</v>
      </c>
      <c r="I3906" s="61">
        <v>95520.65</v>
      </c>
      <c r="J3906" s="61">
        <v>57537.88</v>
      </c>
      <c r="K3906" s="25">
        <f t="shared" si="765"/>
        <v>7655344.8300000001</v>
      </c>
      <c r="L3906" s="95">
        <f t="shared" si="766"/>
        <v>48266666</v>
      </c>
      <c r="M3906" s="20"/>
      <c r="N3906" s="20"/>
      <c r="P3906" s="84">
        <v>1038556765</v>
      </c>
      <c r="Q3906" s="174">
        <v>44348</v>
      </c>
      <c r="R3906" s="125">
        <v>350000</v>
      </c>
      <c r="S3906" s="125">
        <v>448000</v>
      </c>
    </row>
    <row r="3907" spans="1:24" ht="15" hidden="1" x14ac:dyDescent="0.25">
      <c r="B3907" s="89">
        <v>44411.083333333336</v>
      </c>
      <c r="C3907" s="200" t="s">
        <v>3645</v>
      </c>
      <c r="E3907" s="63">
        <v>8000000</v>
      </c>
      <c r="G3907" s="93">
        <f t="shared" si="764"/>
        <v>8000000</v>
      </c>
      <c r="H3907" s="61">
        <v>191596.64</v>
      </c>
      <c r="I3907" s="61">
        <v>95520.65</v>
      </c>
      <c r="J3907" s="61">
        <v>57537.88</v>
      </c>
      <c r="K3907" s="25">
        <f t="shared" si="765"/>
        <v>7655344.8300000001</v>
      </c>
      <c r="L3907" s="95">
        <f t="shared" si="766"/>
        <v>40266666</v>
      </c>
      <c r="M3907" s="20"/>
      <c r="N3907" s="20"/>
      <c r="P3907" s="84">
        <v>1039212889</v>
      </c>
      <c r="Q3907" s="174"/>
      <c r="R3907" s="125"/>
      <c r="S3907" s="125"/>
      <c r="W3907" s="31">
        <v>8000000</v>
      </c>
      <c r="X3907" s="131">
        <f>+E3907-W3907</f>
        <v>0</v>
      </c>
    </row>
    <row r="3908" spans="1:24" ht="15" hidden="1" x14ac:dyDescent="0.25">
      <c r="B3908" s="89">
        <v>44442.083333333336</v>
      </c>
      <c r="C3908" s="200" t="s">
        <v>3646</v>
      </c>
      <c r="E3908" s="63">
        <v>8000000</v>
      </c>
      <c r="G3908" s="93">
        <f t="shared" si="764"/>
        <v>8000000</v>
      </c>
      <c r="H3908" s="61">
        <v>191596.64</v>
      </c>
      <c r="I3908" s="61">
        <v>95520.65</v>
      </c>
      <c r="J3908" s="61">
        <v>57537.88</v>
      </c>
      <c r="K3908" s="25">
        <f t="shared" si="765"/>
        <v>7655344.8300000001</v>
      </c>
      <c r="L3908" s="95">
        <f>+L3907-G3908</f>
        <v>32266666</v>
      </c>
      <c r="M3908" s="20"/>
      <c r="N3908" s="20"/>
      <c r="P3908" s="84">
        <v>1039212889</v>
      </c>
      <c r="Q3908" s="174">
        <v>44409</v>
      </c>
      <c r="R3908" s="125">
        <v>350000</v>
      </c>
      <c r="S3908" s="125">
        <v>448000</v>
      </c>
      <c r="W3908" s="31"/>
      <c r="X3908" s="131"/>
    </row>
    <row r="3909" spans="1:24" ht="15" hidden="1" x14ac:dyDescent="0.25">
      <c r="B3909" s="89">
        <v>44508.125</v>
      </c>
      <c r="C3909" s="200" t="s">
        <v>3647</v>
      </c>
      <c r="E3909" s="63">
        <v>8000000</v>
      </c>
      <c r="G3909" s="93">
        <f t="shared" si="764"/>
        <v>8000000</v>
      </c>
      <c r="H3909" s="61">
        <v>191596.64</v>
      </c>
      <c r="I3909" s="61">
        <v>95520.65</v>
      </c>
      <c r="J3909" s="61">
        <v>57537.88</v>
      </c>
      <c r="K3909" s="25">
        <f t="shared" si="765"/>
        <v>7655344.8300000001</v>
      </c>
      <c r="L3909" s="95">
        <f>+L3908-G3909</f>
        <v>24266666</v>
      </c>
      <c r="M3909" s="20"/>
      <c r="N3909" s="20"/>
      <c r="P3909" s="84">
        <v>1039917700</v>
      </c>
      <c r="Q3909" s="174">
        <v>44440</v>
      </c>
      <c r="R3909" s="125">
        <v>350000</v>
      </c>
      <c r="S3909" s="125">
        <v>448000</v>
      </c>
      <c r="W3909" s="31"/>
      <c r="X3909" s="131"/>
    </row>
    <row r="3910" spans="1:24" ht="15" hidden="1" x14ac:dyDescent="0.25">
      <c r="B3910" s="89">
        <v>44533.125</v>
      </c>
      <c r="C3910" s="200" t="s">
        <v>3648</v>
      </c>
      <c r="E3910" s="63">
        <v>8000000</v>
      </c>
      <c r="G3910" s="93">
        <f t="shared" si="764"/>
        <v>8000000</v>
      </c>
      <c r="H3910" s="61">
        <v>191596.64</v>
      </c>
      <c r="I3910" s="61">
        <v>95520.65</v>
      </c>
      <c r="J3910" s="61">
        <v>57537.88</v>
      </c>
      <c r="K3910" s="25">
        <f t="shared" si="765"/>
        <v>7655344.8300000001</v>
      </c>
      <c r="L3910" s="95">
        <f>+L3909-G3910</f>
        <v>16266666</v>
      </c>
      <c r="M3910" s="20"/>
      <c r="N3910" s="20"/>
      <c r="P3910" s="84">
        <v>1040559674</v>
      </c>
      <c r="Q3910" s="174">
        <v>44470</v>
      </c>
      <c r="R3910" s="125">
        <v>350000</v>
      </c>
      <c r="S3910" s="125">
        <v>448000</v>
      </c>
      <c r="W3910" s="31"/>
      <c r="X3910" s="131"/>
    </row>
    <row r="3911" spans="1:24" ht="15" hidden="1" x14ac:dyDescent="0.25">
      <c r="B3911" s="89">
        <v>44536.125</v>
      </c>
      <c r="C3911" s="200" t="s">
        <v>3649</v>
      </c>
      <c r="E3911" s="63">
        <v>8000000</v>
      </c>
      <c r="G3911" s="93">
        <f t="shared" si="764"/>
        <v>8000000</v>
      </c>
      <c r="H3911" s="61">
        <v>191596.64</v>
      </c>
      <c r="I3911" s="61">
        <v>95520.65</v>
      </c>
      <c r="J3911" s="61">
        <v>57537.88</v>
      </c>
      <c r="K3911" s="25">
        <f t="shared" si="765"/>
        <v>7655344.8300000001</v>
      </c>
      <c r="L3911" s="95">
        <f>+L3910-G3911</f>
        <v>8266666</v>
      </c>
      <c r="M3911" s="20"/>
      <c r="N3911" s="20"/>
      <c r="P3911" s="84">
        <v>1041909182</v>
      </c>
      <c r="Q3911" s="174">
        <v>44501</v>
      </c>
      <c r="R3911" s="125">
        <v>350000</v>
      </c>
      <c r="S3911" s="125">
        <v>448000</v>
      </c>
      <c r="W3911" s="31"/>
      <c r="X3911" s="131"/>
    </row>
    <row r="3912" spans="1:24" ht="15" hidden="1" x14ac:dyDescent="0.25">
      <c r="A3912" s="21">
        <v>3362021</v>
      </c>
      <c r="B3912" s="139" t="s">
        <v>3650</v>
      </c>
      <c r="C3912" s="140"/>
      <c r="D3912" s="141">
        <v>87124267</v>
      </c>
      <c r="E3912" s="141">
        <f>+D3912</f>
        <v>87124267</v>
      </c>
      <c r="F3912" s="141"/>
      <c r="G3912" s="141"/>
      <c r="H3912" s="141"/>
      <c r="I3912" s="141"/>
      <c r="J3912" s="141"/>
      <c r="K3912" s="141"/>
      <c r="L3912" s="141">
        <f>+D3912</f>
        <v>87124267</v>
      </c>
      <c r="M3912" s="142"/>
      <c r="N3912" s="142"/>
      <c r="O3912" s="149">
        <f>+VLOOKUP(A3912,'[1]ANEXO 7 - PPTO VIG 2021'!$H$8:$AB$160,21,)-L3923</f>
        <v>-571307</v>
      </c>
      <c r="R3912" s="21"/>
      <c r="S3912" s="21"/>
    </row>
    <row r="3913" spans="1:24" ht="15" hidden="1" x14ac:dyDescent="0.25">
      <c r="B3913" s="89">
        <v>44295.083333333336</v>
      </c>
      <c r="C3913" s="92" t="s">
        <v>3651</v>
      </c>
      <c r="D3913" s="23"/>
      <c r="E3913" s="91">
        <v>856960</v>
      </c>
      <c r="F3913" s="93"/>
      <c r="G3913" s="93">
        <f t="shared" ref="G3913:G3923" si="767">+E3913</f>
        <v>856960</v>
      </c>
      <c r="H3913" s="91">
        <v>20523.830000000002</v>
      </c>
      <c r="I3913" s="91">
        <v>79214.789999999994</v>
      </c>
      <c r="J3913" s="91">
        <v>6956.5</v>
      </c>
      <c r="K3913" s="25">
        <f t="shared" ref="K3913:K3923" si="768">+G3913-H3913-I3913-J3913</f>
        <v>750264.88</v>
      </c>
      <c r="L3913" s="95">
        <f t="shared" ref="L3913:L3918" si="769">+L3912-G3913</f>
        <v>86267307</v>
      </c>
      <c r="M3913" s="96"/>
      <c r="N3913" s="96"/>
      <c r="P3913" s="55">
        <v>9416819512</v>
      </c>
      <c r="Q3913" s="127">
        <v>44228</v>
      </c>
      <c r="R3913" s="14">
        <v>552000</v>
      </c>
      <c r="S3913" s="14">
        <v>750800</v>
      </c>
      <c r="T3913" s="3">
        <f>+L3912-571307</f>
        <v>86552960</v>
      </c>
      <c r="U3913" s="3">
        <f>+T3913*40%</f>
        <v>34621184</v>
      </c>
    </row>
    <row r="3914" spans="1:24" ht="15" hidden="1" x14ac:dyDescent="0.25">
      <c r="B3914" s="89">
        <v>44295.083333333336</v>
      </c>
      <c r="C3914" s="92" t="s">
        <v>3652</v>
      </c>
      <c r="D3914" s="23"/>
      <c r="E3914" s="91">
        <v>8569600</v>
      </c>
      <c r="F3914" s="93"/>
      <c r="G3914" s="93">
        <f t="shared" si="767"/>
        <v>8569600</v>
      </c>
      <c r="H3914" s="91">
        <v>205238.32</v>
      </c>
      <c r="I3914" s="91">
        <v>792147.9</v>
      </c>
      <c r="J3914" s="91">
        <v>69564.990000000005</v>
      </c>
      <c r="K3914" s="25">
        <f t="shared" si="768"/>
        <v>7502648.7899999991</v>
      </c>
      <c r="L3914" s="95">
        <f t="shared" si="769"/>
        <v>77697707</v>
      </c>
      <c r="M3914" s="96"/>
      <c r="N3914" s="96"/>
      <c r="P3914" s="55">
        <v>9416819512</v>
      </c>
      <c r="Q3914" s="127">
        <v>44228</v>
      </c>
      <c r="R3914" s="14"/>
      <c r="S3914" s="14"/>
      <c r="U3914" s="3"/>
    </row>
    <row r="3915" spans="1:24" ht="15" hidden="1" x14ac:dyDescent="0.25">
      <c r="B3915" s="89">
        <v>44328.083333333336</v>
      </c>
      <c r="C3915" s="92" t="s">
        <v>3653</v>
      </c>
      <c r="D3915" s="23"/>
      <c r="E3915" s="91">
        <v>8569600</v>
      </c>
      <c r="F3915" s="93"/>
      <c r="G3915" s="93">
        <f t="shared" si="767"/>
        <v>8569600</v>
      </c>
      <c r="H3915" s="91">
        <v>205238.32</v>
      </c>
      <c r="I3915" s="91">
        <v>792147.9</v>
      </c>
      <c r="J3915" s="91">
        <v>69564.990000000005</v>
      </c>
      <c r="K3915" s="25">
        <f t="shared" si="768"/>
        <v>7502648.7899999991</v>
      </c>
      <c r="L3915" s="95">
        <f t="shared" si="769"/>
        <v>69128107</v>
      </c>
      <c r="M3915" s="20">
        <v>8569600</v>
      </c>
      <c r="N3915" s="20">
        <f>+G3915-M3915</f>
        <v>0</v>
      </c>
      <c r="P3915" s="55">
        <v>9418540617</v>
      </c>
      <c r="Q3915" s="127">
        <v>44256</v>
      </c>
      <c r="R3915" s="14">
        <v>1349000</v>
      </c>
      <c r="S3915" s="14">
        <v>1834800</v>
      </c>
      <c r="U3915" s="3">
        <f>+U3913*12.5%</f>
        <v>4327648</v>
      </c>
      <c r="V3915" s="173" t="s">
        <v>2769</v>
      </c>
    </row>
    <row r="3916" spans="1:24" ht="15" hidden="1" x14ac:dyDescent="0.25">
      <c r="B3916" s="89">
        <v>44356.083333333336</v>
      </c>
      <c r="C3916" s="92" t="s">
        <v>3654</v>
      </c>
      <c r="D3916" s="23"/>
      <c r="E3916" s="91">
        <v>8569600</v>
      </c>
      <c r="F3916" s="93"/>
      <c r="G3916" s="93">
        <f t="shared" si="767"/>
        <v>8569600</v>
      </c>
      <c r="H3916" s="91">
        <v>205238.32</v>
      </c>
      <c r="I3916" s="91">
        <v>792147.9</v>
      </c>
      <c r="J3916" s="91">
        <v>69564.990000000005</v>
      </c>
      <c r="K3916" s="25">
        <f t="shared" si="768"/>
        <v>7502648.7899999991</v>
      </c>
      <c r="L3916" s="95">
        <f t="shared" si="769"/>
        <v>60558507</v>
      </c>
      <c r="M3916" s="20"/>
      <c r="N3916" s="20"/>
      <c r="P3916" s="55">
        <v>9419737901</v>
      </c>
      <c r="Q3916" s="127">
        <v>44287</v>
      </c>
      <c r="R3916" s="14">
        <v>1120000</v>
      </c>
      <c r="S3916" s="14">
        <v>1523200</v>
      </c>
      <c r="U3916" s="3">
        <f>+U3913*16%</f>
        <v>5539389.4400000004</v>
      </c>
      <c r="V3916" s="172" t="s">
        <v>2771</v>
      </c>
    </row>
    <row r="3917" spans="1:24" ht="15" hidden="1" x14ac:dyDescent="0.25">
      <c r="B3917" s="89">
        <v>44385.083333333336</v>
      </c>
      <c r="C3917" s="92" t="s">
        <v>3655</v>
      </c>
      <c r="D3917" s="23"/>
      <c r="E3917" s="91">
        <v>8569600</v>
      </c>
      <c r="F3917" s="93"/>
      <c r="G3917" s="93">
        <f t="shared" si="767"/>
        <v>8569600</v>
      </c>
      <c r="H3917" s="91">
        <v>205238.32</v>
      </c>
      <c r="I3917" s="91">
        <v>792147.9</v>
      </c>
      <c r="J3917" s="91">
        <v>69564.990000000005</v>
      </c>
      <c r="K3917" s="25">
        <f t="shared" si="768"/>
        <v>7502648.7899999991</v>
      </c>
      <c r="L3917" s="95">
        <f t="shared" si="769"/>
        <v>51988907</v>
      </c>
      <c r="M3917" s="20"/>
      <c r="N3917" s="20"/>
      <c r="P3917" s="84">
        <v>9420894037</v>
      </c>
      <c r="Q3917" s="174">
        <v>44317</v>
      </c>
      <c r="R3917" s="14">
        <v>1120000</v>
      </c>
      <c r="S3917" s="14">
        <v>1523200</v>
      </c>
    </row>
    <row r="3918" spans="1:24" ht="15" hidden="1" x14ac:dyDescent="0.25">
      <c r="B3918" s="89">
        <v>44420.083333333336</v>
      </c>
      <c r="C3918" s="92" t="s">
        <v>3656</v>
      </c>
      <c r="D3918" s="23"/>
      <c r="E3918" s="91">
        <v>8569600</v>
      </c>
      <c r="F3918" s="93"/>
      <c r="G3918" s="93">
        <f t="shared" si="767"/>
        <v>8569600</v>
      </c>
      <c r="H3918" s="91">
        <v>205238.32</v>
      </c>
      <c r="I3918" s="91">
        <v>792147.9</v>
      </c>
      <c r="J3918" s="91">
        <v>69564.990000000005</v>
      </c>
      <c r="K3918" s="25">
        <f t="shared" si="768"/>
        <v>7502648.7899999991</v>
      </c>
      <c r="L3918" s="95">
        <f t="shared" si="769"/>
        <v>43419307</v>
      </c>
      <c r="M3918" s="20"/>
      <c r="N3918" s="20"/>
      <c r="P3918" s="84">
        <v>9422093194</v>
      </c>
      <c r="Q3918" s="174">
        <v>44348</v>
      </c>
      <c r="R3918" s="125">
        <v>975000</v>
      </c>
      <c r="S3918" s="125">
        <v>1326000</v>
      </c>
      <c r="W3918" s="31">
        <v>8569600</v>
      </c>
      <c r="X3918" s="131">
        <f>+E3918-W3918</f>
        <v>0</v>
      </c>
    </row>
    <row r="3919" spans="1:24" ht="15" hidden="1" x14ac:dyDescent="0.25">
      <c r="B3919" s="89">
        <v>44461.083333333336</v>
      </c>
      <c r="C3919" s="92" t="s">
        <v>3657</v>
      </c>
      <c r="D3919" s="23"/>
      <c r="E3919" s="91">
        <v>8569600</v>
      </c>
      <c r="F3919" s="93"/>
      <c r="G3919" s="93">
        <f t="shared" si="767"/>
        <v>8569600</v>
      </c>
      <c r="H3919" s="91">
        <v>205238.32</v>
      </c>
      <c r="I3919" s="91">
        <v>792147.9</v>
      </c>
      <c r="J3919" s="91">
        <v>69564.990000000005</v>
      </c>
      <c r="K3919" s="25">
        <f t="shared" si="768"/>
        <v>7502648.7899999991</v>
      </c>
      <c r="L3919" s="95">
        <f>+L3918-G3919</f>
        <v>34849707</v>
      </c>
      <c r="M3919" s="20"/>
      <c r="N3919" s="20"/>
      <c r="P3919" s="84">
        <v>9423318421</v>
      </c>
      <c r="Q3919" s="174">
        <v>44378</v>
      </c>
      <c r="R3919" s="125">
        <v>975000</v>
      </c>
      <c r="S3919" s="125">
        <v>1326000</v>
      </c>
      <c r="W3919" s="31"/>
      <c r="X3919" s="131"/>
    </row>
    <row r="3920" spans="1:24" ht="15" hidden="1" x14ac:dyDescent="0.25">
      <c r="B3920" s="89">
        <v>44490.083333333336</v>
      </c>
      <c r="C3920" s="92" t="s">
        <v>3658</v>
      </c>
      <c r="D3920" s="23"/>
      <c r="E3920" s="91">
        <v>8569600</v>
      </c>
      <c r="F3920" s="93"/>
      <c r="G3920" s="93">
        <f t="shared" si="767"/>
        <v>8569600</v>
      </c>
      <c r="H3920" s="91">
        <v>205238.32</v>
      </c>
      <c r="I3920" s="91">
        <v>792147.9</v>
      </c>
      <c r="J3920" s="91">
        <v>69564.990000000005</v>
      </c>
      <c r="K3920" s="25">
        <f t="shared" si="768"/>
        <v>7502648.7899999991</v>
      </c>
      <c r="L3920" s="95">
        <f>+L3919-G3920</f>
        <v>26280107</v>
      </c>
      <c r="M3920" s="20"/>
      <c r="N3920" s="20"/>
      <c r="P3920" s="84">
        <v>9425401955</v>
      </c>
      <c r="Q3920" s="174">
        <v>44409</v>
      </c>
      <c r="R3920" s="125">
        <v>975000</v>
      </c>
      <c r="S3920" s="125">
        <v>1326000</v>
      </c>
      <c r="W3920" s="31"/>
      <c r="X3920" s="131"/>
    </row>
    <row r="3921" spans="1:24" ht="15" hidden="1" x14ac:dyDescent="0.25">
      <c r="B3921" s="89">
        <v>44503.083333333336</v>
      </c>
      <c r="C3921" s="92" t="s">
        <v>3659</v>
      </c>
      <c r="D3921" s="23"/>
      <c r="E3921" s="91">
        <v>8569600</v>
      </c>
      <c r="F3921" s="93"/>
      <c r="G3921" s="93">
        <f t="shared" si="767"/>
        <v>8569600</v>
      </c>
      <c r="H3921" s="91">
        <v>205238.32</v>
      </c>
      <c r="I3921" s="91">
        <v>792147.9</v>
      </c>
      <c r="J3921" s="91">
        <v>69564.990000000005</v>
      </c>
      <c r="K3921" s="25">
        <f t="shared" si="768"/>
        <v>7502648.7899999991</v>
      </c>
      <c r="L3921" s="95">
        <f>+L3920-G3921</f>
        <v>17710507</v>
      </c>
      <c r="M3921" s="20"/>
      <c r="N3921" s="20"/>
      <c r="P3921" s="84">
        <v>9426033675</v>
      </c>
      <c r="Q3921" s="174">
        <v>44440</v>
      </c>
      <c r="R3921" s="125">
        <v>630000</v>
      </c>
      <c r="S3921" s="125">
        <v>856800</v>
      </c>
      <c r="W3921" s="31"/>
      <c r="X3921" s="131"/>
    </row>
    <row r="3922" spans="1:24" ht="15" hidden="1" x14ac:dyDescent="0.25">
      <c r="B3922" s="89">
        <v>44545.125</v>
      </c>
      <c r="C3922" s="92" t="s">
        <v>3660</v>
      </c>
      <c r="D3922" s="23"/>
      <c r="E3922" s="91">
        <v>8569600</v>
      </c>
      <c r="F3922" s="93"/>
      <c r="G3922" s="93">
        <f t="shared" si="767"/>
        <v>8569600</v>
      </c>
      <c r="H3922" s="91">
        <v>205238.32</v>
      </c>
      <c r="I3922" s="91">
        <v>792147.9</v>
      </c>
      <c r="J3922" s="91">
        <v>69564.990000000005</v>
      </c>
      <c r="K3922" s="25">
        <f t="shared" si="768"/>
        <v>7502648.7899999991</v>
      </c>
      <c r="L3922" s="95">
        <f>+L3921-G3922</f>
        <v>9140907</v>
      </c>
      <c r="M3922" s="20"/>
      <c r="N3922" s="20"/>
      <c r="P3922" s="84">
        <v>9426831486</v>
      </c>
      <c r="Q3922" s="174">
        <v>44470</v>
      </c>
      <c r="R3922" s="125">
        <v>630000</v>
      </c>
      <c r="S3922" s="125">
        <v>856800</v>
      </c>
      <c r="W3922" s="31"/>
      <c r="X3922" s="131"/>
    </row>
    <row r="3923" spans="1:24" ht="15" hidden="1" x14ac:dyDescent="0.25">
      <c r="B3923" s="89">
        <v>44553.125</v>
      </c>
      <c r="C3923" s="92" t="s">
        <v>3661</v>
      </c>
      <c r="D3923" s="23"/>
      <c r="E3923" s="91">
        <v>8569600</v>
      </c>
      <c r="F3923" s="93"/>
      <c r="G3923" s="93">
        <f t="shared" si="767"/>
        <v>8569600</v>
      </c>
      <c r="H3923" s="91">
        <v>205238.32</v>
      </c>
      <c r="I3923" s="91">
        <v>250084.35</v>
      </c>
      <c r="J3923" s="91">
        <v>61634.58</v>
      </c>
      <c r="K3923" s="25">
        <f t="shared" si="768"/>
        <v>8052642.75</v>
      </c>
      <c r="L3923" s="95">
        <f>+L3922-G3923</f>
        <v>571307</v>
      </c>
      <c r="M3923" s="20"/>
      <c r="N3923" s="20"/>
      <c r="P3923" s="84">
        <v>9428320896</v>
      </c>
      <c r="Q3923" s="174">
        <v>44501</v>
      </c>
      <c r="R3923" s="125">
        <v>780000</v>
      </c>
      <c r="S3923" s="125">
        <v>1060800</v>
      </c>
      <c r="W3923" s="31"/>
      <c r="X3923" s="131"/>
    </row>
    <row r="3924" spans="1:24" ht="15" hidden="1" x14ac:dyDescent="0.25">
      <c r="B3924" s="89"/>
      <c r="C3924" s="92"/>
      <c r="D3924" s="23"/>
      <c r="E3924" s="91"/>
      <c r="F3924" s="93"/>
      <c r="G3924" s="93"/>
      <c r="H3924" s="91"/>
      <c r="I3924" s="91"/>
      <c r="J3924" s="91"/>
      <c r="K3924" s="25"/>
      <c r="L3924" s="95"/>
      <c r="M3924" s="20"/>
      <c r="N3924" s="20"/>
      <c r="P3924" s="84">
        <v>9428341435</v>
      </c>
      <c r="Q3924" s="174">
        <v>44531</v>
      </c>
      <c r="R3924" s="125">
        <v>630000</v>
      </c>
      <c r="S3924" s="125">
        <v>856800</v>
      </c>
      <c r="W3924" s="31"/>
      <c r="X3924" s="131"/>
    </row>
    <row r="3925" spans="1:24" ht="15" hidden="1" x14ac:dyDescent="0.25">
      <c r="B3925" s="89"/>
      <c r="C3925" s="92"/>
      <c r="D3925" s="23"/>
      <c r="E3925" s="91"/>
      <c r="F3925" s="93"/>
      <c r="G3925" s="93"/>
      <c r="H3925" s="91"/>
      <c r="I3925" s="91"/>
      <c r="J3925" s="91"/>
      <c r="K3925" s="25"/>
      <c r="L3925" s="95"/>
      <c r="M3925" s="20"/>
      <c r="N3925" s="20"/>
      <c r="P3925" s="84"/>
      <c r="Q3925" s="174"/>
      <c r="R3925" s="178">
        <f>SUM(R3913:R3924)</f>
        <v>9736000</v>
      </c>
      <c r="S3925" s="177">
        <f>SUM(S3913:S3924)</f>
        <v>13241200</v>
      </c>
      <c r="W3925" s="31"/>
      <c r="X3925" s="131"/>
    </row>
    <row r="3926" spans="1:24" ht="15" hidden="1" x14ac:dyDescent="0.25">
      <c r="A3926" s="21">
        <v>3832021</v>
      </c>
      <c r="B3926" s="139" t="s">
        <v>3662</v>
      </c>
      <c r="C3926" s="140"/>
      <c r="D3926" s="141">
        <v>80837833</v>
      </c>
      <c r="E3926" s="141">
        <f>+D3926</f>
        <v>80837833</v>
      </c>
      <c r="F3926" s="141"/>
      <c r="G3926" s="141"/>
      <c r="H3926" s="141"/>
      <c r="I3926" s="141"/>
      <c r="J3926" s="141"/>
      <c r="K3926" s="141"/>
      <c r="L3926" s="141">
        <f>+D3926</f>
        <v>80837833</v>
      </c>
      <c r="M3926" s="142"/>
      <c r="N3926" s="142"/>
    </row>
    <row r="3927" spans="1:24" ht="15" hidden="1" x14ac:dyDescent="0.25">
      <c r="B3927" s="89">
        <v>44301.083333333336</v>
      </c>
      <c r="C3927" s="92" t="s">
        <v>3663</v>
      </c>
      <c r="D3927" s="23"/>
      <c r="E3927" s="91">
        <v>2042833</v>
      </c>
      <c r="F3927" s="93"/>
      <c r="G3927" s="93">
        <f t="shared" ref="G3927:G3936" si="770">+E3927</f>
        <v>2042833</v>
      </c>
      <c r="H3927" s="94"/>
      <c r="I3927" s="91">
        <v>0</v>
      </c>
      <c r="J3927" s="91">
        <v>17484.12</v>
      </c>
      <c r="K3927" s="25">
        <f>+G3927-H3927-I3927-J3927</f>
        <v>2025348.88</v>
      </c>
      <c r="L3927" s="95">
        <f t="shared" ref="L3927:L3932" si="771">+L3926-G3927</f>
        <v>78795000</v>
      </c>
      <c r="M3927" s="96"/>
      <c r="N3927" s="96"/>
      <c r="O3927" s="149">
        <f>+VLOOKUP(A3926,'[1]ANEXO 7 - PPTO VIG 2021'!$H$8:$AB$160,21,)-L3936</f>
        <v>0</v>
      </c>
      <c r="P3927" s="55">
        <v>1036770512</v>
      </c>
      <c r="Q3927" s="127">
        <v>44256</v>
      </c>
      <c r="R3927" s="14">
        <v>113600</v>
      </c>
      <c r="S3927" s="14">
        <v>145400</v>
      </c>
      <c r="T3927" s="3">
        <f>+L3926</f>
        <v>80837833</v>
      </c>
      <c r="U3927" s="3">
        <f>+T3927*40%</f>
        <v>32335133.200000003</v>
      </c>
    </row>
    <row r="3928" spans="1:24" ht="15" hidden="1" x14ac:dyDescent="0.25">
      <c r="B3928" s="89">
        <v>44327.083333333336</v>
      </c>
      <c r="C3928" s="92" t="s">
        <v>3664</v>
      </c>
      <c r="D3928" s="23"/>
      <c r="E3928" s="91">
        <v>8755000</v>
      </c>
      <c r="F3928" s="93"/>
      <c r="G3928" s="93">
        <f t="shared" si="770"/>
        <v>8755000</v>
      </c>
      <c r="H3928" s="94"/>
      <c r="I3928" s="94">
        <v>463256.31</v>
      </c>
      <c r="J3928" s="91">
        <v>74931.94</v>
      </c>
      <c r="K3928" s="25">
        <f t="shared" ref="K3928:K3933" si="772">+G3928-H3928-I3928-J3928</f>
        <v>8216811.75</v>
      </c>
      <c r="L3928" s="95">
        <f t="shared" si="771"/>
        <v>70040000</v>
      </c>
      <c r="M3928" s="20">
        <v>8755000</v>
      </c>
      <c r="N3928" s="20">
        <f>+G3928-M3928</f>
        <v>0</v>
      </c>
      <c r="P3928" s="55">
        <v>1037479224</v>
      </c>
      <c r="Q3928" s="127">
        <v>44287</v>
      </c>
      <c r="R3928" s="14">
        <v>437800</v>
      </c>
      <c r="S3928" s="14">
        <v>560400</v>
      </c>
      <c r="U3928" s="3"/>
    </row>
    <row r="3929" spans="1:24" ht="15" hidden="1" x14ac:dyDescent="0.25">
      <c r="B3929" s="89">
        <v>44358.083333333336</v>
      </c>
      <c r="C3929" s="92" t="s">
        <v>3665</v>
      </c>
      <c r="D3929" s="23"/>
      <c r="E3929" s="91">
        <v>8755000</v>
      </c>
      <c r="F3929" s="93"/>
      <c r="G3929" s="93">
        <f t="shared" si="770"/>
        <v>8755000</v>
      </c>
      <c r="H3929" s="94"/>
      <c r="I3929" s="94">
        <v>463256.31</v>
      </c>
      <c r="J3929" s="91">
        <v>74931.94</v>
      </c>
      <c r="K3929" s="25">
        <f t="shared" si="772"/>
        <v>8216811.75</v>
      </c>
      <c r="L3929" s="95">
        <f t="shared" si="771"/>
        <v>61285000</v>
      </c>
      <c r="M3929" s="20"/>
      <c r="N3929" s="20"/>
      <c r="P3929" s="55">
        <v>1037827551</v>
      </c>
      <c r="Q3929" s="127">
        <v>44317</v>
      </c>
      <c r="R3929" s="14">
        <v>437800</v>
      </c>
      <c r="S3929" s="14">
        <v>560400</v>
      </c>
      <c r="U3929" s="3">
        <f>+U3927*12.5%</f>
        <v>4041891.6500000004</v>
      </c>
      <c r="V3929" s="172" t="s">
        <v>11</v>
      </c>
    </row>
    <row r="3930" spans="1:24" ht="15" hidden="1" x14ac:dyDescent="0.25">
      <c r="B3930" s="89">
        <v>44385.083333333336</v>
      </c>
      <c r="C3930" s="92" t="s">
        <v>3666</v>
      </c>
      <c r="D3930" s="23"/>
      <c r="E3930" s="91">
        <v>8755000</v>
      </c>
      <c r="F3930" s="93"/>
      <c r="G3930" s="93">
        <f t="shared" si="770"/>
        <v>8755000</v>
      </c>
      <c r="H3930" s="94"/>
      <c r="I3930" s="94">
        <v>463256.31</v>
      </c>
      <c r="J3930" s="91">
        <v>74931.94</v>
      </c>
      <c r="K3930" s="25">
        <f t="shared" si="772"/>
        <v>8216811.75</v>
      </c>
      <c r="L3930" s="95">
        <f t="shared" si="771"/>
        <v>52530000</v>
      </c>
      <c r="M3930" s="20"/>
      <c r="N3930" s="20"/>
      <c r="P3930" s="55">
        <v>1038453412</v>
      </c>
      <c r="Q3930" s="127">
        <v>44348</v>
      </c>
      <c r="R3930" s="14">
        <v>437800</v>
      </c>
      <c r="S3930" s="14">
        <v>560400</v>
      </c>
      <c r="U3930" s="3">
        <f>+U3927*16%</f>
        <v>5173621.3120000008</v>
      </c>
      <c r="V3930" s="173" t="s">
        <v>12</v>
      </c>
    </row>
    <row r="3931" spans="1:24" ht="15" hidden="1" x14ac:dyDescent="0.25">
      <c r="B3931" s="89">
        <v>44419.083333333336</v>
      </c>
      <c r="C3931" s="92" t="s">
        <v>3667</v>
      </c>
      <c r="D3931" s="23"/>
      <c r="E3931" s="91">
        <v>8755000</v>
      </c>
      <c r="F3931" s="93"/>
      <c r="G3931" s="93">
        <f t="shared" si="770"/>
        <v>8755000</v>
      </c>
      <c r="H3931" s="94"/>
      <c r="I3931" s="94">
        <v>463256.31</v>
      </c>
      <c r="J3931" s="91">
        <v>74931.94</v>
      </c>
      <c r="K3931" s="25">
        <f t="shared" si="772"/>
        <v>8216811.75</v>
      </c>
      <c r="L3931" s="95">
        <f t="shared" si="771"/>
        <v>43775000</v>
      </c>
      <c r="M3931" s="20"/>
      <c r="N3931" s="20"/>
      <c r="P3931" s="84">
        <v>1038977031</v>
      </c>
      <c r="Q3931" s="174">
        <v>44378</v>
      </c>
      <c r="R3931" s="14">
        <v>437800</v>
      </c>
      <c r="S3931" s="14">
        <v>560400</v>
      </c>
      <c r="W3931" s="31">
        <v>8755000</v>
      </c>
      <c r="X3931" s="131">
        <f>+E3931-W3931</f>
        <v>0</v>
      </c>
    </row>
    <row r="3932" spans="1:24" ht="15" hidden="1" x14ac:dyDescent="0.25">
      <c r="B3932" s="89">
        <v>44449.083333333336</v>
      </c>
      <c r="C3932" s="92" t="s">
        <v>3668</v>
      </c>
      <c r="D3932" s="23"/>
      <c r="E3932" s="91">
        <v>8755000</v>
      </c>
      <c r="F3932" s="93"/>
      <c r="G3932" s="93">
        <f t="shared" si="770"/>
        <v>8755000</v>
      </c>
      <c r="H3932" s="94"/>
      <c r="I3932" s="94">
        <v>463256.31</v>
      </c>
      <c r="J3932" s="91">
        <v>74931.94</v>
      </c>
      <c r="K3932" s="25">
        <f t="shared" si="772"/>
        <v>8216811.75</v>
      </c>
      <c r="L3932" s="95">
        <f t="shared" si="771"/>
        <v>35020000</v>
      </c>
      <c r="M3932" s="20"/>
      <c r="N3932" s="20"/>
      <c r="P3932" s="84">
        <v>1039726020</v>
      </c>
      <c r="Q3932" s="174">
        <v>44409</v>
      </c>
      <c r="R3932" s="14">
        <v>437800</v>
      </c>
      <c r="S3932" s="14">
        <v>560400</v>
      </c>
      <c r="W3932" s="31"/>
      <c r="X3932" s="131"/>
    </row>
    <row r="3933" spans="1:24" ht="15" hidden="1" x14ac:dyDescent="0.25">
      <c r="B3933" s="89">
        <v>44482.083333333336</v>
      </c>
      <c r="C3933" s="92" t="s">
        <v>3669</v>
      </c>
      <c r="D3933" s="23"/>
      <c r="E3933" s="91">
        <v>8755000</v>
      </c>
      <c r="F3933" s="93"/>
      <c r="G3933" s="93">
        <f t="shared" si="770"/>
        <v>8755000</v>
      </c>
      <c r="H3933" s="94"/>
      <c r="I3933" s="94">
        <v>463256.31</v>
      </c>
      <c r="J3933" s="91">
        <v>74931.94</v>
      </c>
      <c r="K3933" s="25">
        <f t="shared" si="772"/>
        <v>8216811.75</v>
      </c>
      <c r="L3933" s="95">
        <f>+L3932-G3933</f>
        <v>26265000</v>
      </c>
      <c r="M3933" s="20"/>
      <c r="N3933" s="20"/>
      <c r="P3933" s="84">
        <v>1040445398</v>
      </c>
      <c r="Q3933" s="174">
        <v>44440</v>
      </c>
      <c r="R3933" s="14">
        <v>437800</v>
      </c>
      <c r="S3933" s="14">
        <v>560400</v>
      </c>
      <c r="W3933" s="31"/>
      <c r="X3933" s="131"/>
    </row>
    <row r="3934" spans="1:24" ht="15" hidden="1" x14ac:dyDescent="0.25">
      <c r="B3934" s="89">
        <v>44511.125</v>
      </c>
      <c r="C3934" s="92" t="s">
        <v>3670</v>
      </c>
      <c r="D3934" s="23"/>
      <c r="E3934" s="91">
        <v>8755000</v>
      </c>
      <c r="F3934" s="93"/>
      <c r="G3934" s="93">
        <f t="shared" si="770"/>
        <v>8755000</v>
      </c>
      <c r="H3934" s="94"/>
      <c r="I3934" s="94">
        <v>463256.31</v>
      </c>
      <c r="J3934" s="91">
        <v>74931.94</v>
      </c>
      <c r="K3934" s="25">
        <f>+G3934-H3934-I3934-J3934</f>
        <v>8216811.75</v>
      </c>
      <c r="L3934" s="95">
        <f>+L3933-G3934</f>
        <v>17510000</v>
      </c>
      <c r="M3934" s="20"/>
      <c r="N3934" s="20"/>
      <c r="P3934" s="84">
        <v>1041100763</v>
      </c>
      <c r="Q3934" s="174">
        <v>44470</v>
      </c>
      <c r="R3934" s="14">
        <v>437800</v>
      </c>
      <c r="S3934" s="14">
        <v>560400</v>
      </c>
      <c r="W3934" s="31"/>
      <c r="X3934" s="131"/>
    </row>
    <row r="3935" spans="1:24" ht="15" hidden="1" x14ac:dyDescent="0.25">
      <c r="B3935" s="89">
        <v>44540.125</v>
      </c>
      <c r="C3935" s="92" t="s">
        <v>3671</v>
      </c>
      <c r="D3935" s="23"/>
      <c r="E3935" s="91">
        <v>8755000</v>
      </c>
      <c r="F3935" s="93"/>
      <c r="G3935" s="93">
        <f t="shared" si="770"/>
        <v>8755000</v>
      </c>
      <c r="H3935" s="94"/>
      <c r="I3935" s="94">
        <v>463256.31</v>
      </c>
      <c r="J3935" s="91">
        <v>74931.94</v>
      </c>
      <c r="K3935" s="25">
        <f>+G3935-H3935-I3935-J3935</f>
        <v>8216811.75</v>
      </c>
      <c r="L3935" s="95">
        <f>+L3934-G3935</f>
        <v>8755000</v>
      </c>
      <c r="M3935" s="20"/>
      <c r="N3935" s="20"/>
      <c r="P3935" s="84">
        <v>1041710894</v>
      </c>
      <c r="Q3935" s="174">
        <v>44501</v>
      </c>
      <c r="R3935" s="14">
        <v>437800</v>
      </c>
      <c r="S3935" s="14">
        <v>560400</v>
      </c>
      <c r="W3935" s="31"/>
      <c r="X3935" s="131"/>
    </row>
    <row r="3936" spans="1:24" ht="15" hidden="1" x14ac:dyDescent="0.25">
      <c r="B3936" s="89">
        <v>44551.125</v>
      </c>
      <c r="C3936" s="92" t="s">
        <v>3672</v>
      </c>
      <c r="D3936" s="23"/>
      <c r="E3936" s="91">
        <v>8755000</v>
      </c>
      <c r="F3936" s="93"/>
      <c r="G3936" s="93">
        <f t="shared" si="770"/>
        <v>8755000</v>
      </c>
      <c r="H3936" s="94"/>
      <c r="I3936" s="94">
        <v>463256.31</v>
      </c>
      <c r="J3936" s="91">
        <v>74931.94</v>
      </c>
      <c r="K3936" s="25">
        <f>+G3936-H3936-I3936-J3936</f>
        <v>8216811.75</v>
      </c>
      <c r="L3936" s="95">
        <f>+L3935-G3936</f>
        <v>0</v>
      </c>
      <c r="M3936" s="20"/>
      <c r="N3936" s="20"/>
      <c r="P3936" s="84">
        <v>1042314998</v>
      </c>
      <c r="Q3936" s="174">
        <v>44531</v>
      </c>
      <c r="R3936" s="14">
        <v>437800</v>
      </c>
      <c r="S3936" s="14">
        <v>560400</v>
      </c>
      <c r="W3936" s="31"/>
      <c r="X3936" s="131"/>
    </row>
    <row r="3937" spans="1:24" ht="15" hidden="1" x14ac:dyDescent="0.25">
      <c r="B3937" s="89"/>
      <c r="C3937" s="92"/>
      <c r="D3937" s="23"/>
      <c r="E3937" s="91"/>
      <c r="F3937" s="93"/>
      <c r="G3937" s="93"/>
      <c r="H3937" s="94"/>
      <c r="I3937" s="94"/>
      <c r="J3937" s="91"/>
      <c r="K3937" s="25"/>
      <c r="L3937" s="95"/>
      <c r="M3937" s="20"/>
      <c r="N3937" s="20"/>
      <c r="P3937" s="84"/>
      <c r="Q3937" s="174"/>
      <c r="R3937" s="177">
        <f>SUM(R3927:R3936)</f>
        <v>4053800</v>
      </c>
      <c r="S3937" s="178">
        <f>SUM(S3927:S3936)</f>
        <v>5189000</v>
      </c>
      <c r="W3937" s="31"/>
      <c r="X3937" s="131"/>
    </row>
    <row r="3938" spans="1:24" ht="15" hidden="1" x14ac:dyDescent="0.25">
      <c r="A3938" s="21">
        <v>3032021</v>
      </c>
      <c r="B3938" s="139" t="s">
        <v>3673</v>
      </c>
      <c r="C3938" s="140"/>
      <c r="D3938" s="141">
        <v>57130667</v>
      </c>
      <c r="E3938" s="141">
        <f>+D3938</f>
        <v>57130667</v>
      </c>
      <c r="F3938" s="141"/>
      <c r="G3938" s="141"/>
      <c r="H3938" s="141"/>
      <c r="I3938" s="141"/>
      <c r="J3938" s="141"/>
      <c r="K3938" s="141"/>
      <c r="L3938" s="141">
        <f>+D3938</f>
        <v>57130667</v>
      </c>
      <c r="M3938" s="142"/>
      <c r="N3938" s="142"/>
      <c r="O3938" s="149">
        <f>+VLOOKUP(A3938,'[1]ANEXO 7 - PPTO VIG 2021'!$H$8:$AB$160,21,)-L3949</f>
        <v>-1606801</v>
      </c>
    </row>
    <row r="3939" spans="1:24" ht="15" hidden="1" x14ac:dyDescent="0.25">
      <c r="B3939" s="89">
        <v>44299.083333333336</v>
      </c>
      <c r="C3939" s="92" t="s">
        <v>3674</v>
      </c>
      <c r="D3939" s="62"/>
      <c r="E3939" s="91">
        <v>1963866</v>
      </c>
      <c r="F3939" s="93"/>
      <c r="G3939" s="93">
        <f t="shared" ref="G3939:G3949" si="773">+E3939</f>
        <v>1963866</v>
      </c>
      <c r="H3939" s="94">
        <v>0</v>
      </c>
      <c r="I3939" s="94">
        <v>0</v>
      </c>
      <c r="J3939" s="91">
        <v>16808.259999999998</v>
      </c>
      <c r="K3939" s="25">
        <f t="shared" ref="K3939:K3949" si="774">+G3939-H3939-I3939-J3939</f>
        <v>1947057.74</v>
      </c>
      <c r="L3939" s="95">
        <f t="shared" ref="L3939:L3944" si="775">+L3938-G3939</f>
        <v>55166801</v>
      </c>
      <c r="M3939" s="96"/>
      <c r="N3939" s="96"/>
      <c r="P3939" s="55">
        <v>9416429871</v>
      </c>
      <c r="Q3939" s="127">
        <v>44228</v>
      </c>
      <c r="R3939" s="14">
        <v>150100</v>
      </c>
      <c r="S3939" s="14">
        <v>192100</v>
      </c>
      <c r="T3939" s="3">
        <f>+L3938-1606801</f>
        <v>55523866</v>
      </c>
      <c r="U3939" s="3">
        <f>+T3939*40%</f>
        <v>22209546.400000002</v>
      </c>
    </row>
    <row r="3940" spans="1:24" ht="15" hidden="1" x14ac:dyDescent="0.25">
      <c r="B3940" s="89">
        <v>44320.083333333336</v>
      </c>
      <c r="C3940" s="92" t="s">
        <v>3675</v>
      </c>
      <c r="D3940" s="62"/>
      <c r="E3940" s="91">
        <v>5356000</v>
      </c>
      <c r="F3940" s="93"/>
      <c r="G3940" s="93">
        <f t="shared" si="773"/>
        <v>5356000</v>
      </c>
      <c r="H3940" s="94"/>
      <c r="I3940" s="94"/>
      <c r="J3940" s="91">
        <v>45840.72</v>
      </c>
      <c r="K3940" s="25">
        <f t="shared" si="774"/>
        <v>5310159.28</v>
      </c>
      <c r="L3940" s="95">
        <f t="shared" si="775"/>
        <v>49810801</v>
      </c>
      <c r="M3940" s="20">
        <v>5356000</v>
      </c>
      <c r="N3940" s="20">
        <f>+G3940-M3940</f>
        <v>0</v>
      </c>
      <c r="P3940" s="21">
        <v>9418364158</v>
      </c>
      <c r="Q3940" s="127">
        <v>44256</v>
      </c>
      <c r="R3940" s="14">
        <v>267800</v>
      </c>
      <c r="S3940" s="14">
        <v>342800</v>
      </c>
    </row>
    <row r="3941" spans="1:24" ht="15" hidden="1" x14ac:dyDescent="0.25">
      <c r="B3941" s="89">
        <v>44328.083333333336</v>
      </c>
      <c r="C3941" s="92" t="s">
        <v>3676</v>
      </c>
      <c r="D3941" s="62"/>
      <c r="E3941" s="91">
        <v>5356000</v>
      </c>
      <c r="F3941" s="93"/>
      <c r="G3941" s="93">
        <f t="shared" si="773"/>
        <v>5356000</v>
      </c>
      <c r="H3941" s="94"/>
      <c r="I3941" s="94"/>
      <c r="J3941" s="91">
        <v>45840.72</v>
      </c>
      <c r="K3941" s="25">
        <f t="shared" si="774"/>
        <v>5310159.28</v>
      </c>
      <c r="L3941" s="95">
        <f t="shared" si="775"/>
        <v>44454801</v>
      </c>
      <c r="M3941" s="20">
        <v>5356000</v>
      </c>
      <c r="N3941" s="20">
        <f>+G3941-M3941</f>
        <v>0</v>
      </c>
      <c r="P3941" s="55">
        <v>9418781994</v>
      </c>
      <c r="Q3941" s="127">
        <v>44287</v>
      </c>
      <c r="R3941" s="14">
        <v>267800</v>
      </c>
      <c r="S3941" s="14">
        <v>342800</v>
      </c>
      <c r="U3941" s="3">
        <f>+U3939*12.5%</f>
        <v>2776193.3000000003</v>
      </c>
      <c r="V3941" s="172" t="s">
        <v>11</v>
      </c>
    </row>
    <row r="3942" spans="1:24" ht="15" hidden="1" x14ac:dyDescent="0.25">
      <c r="B3942" s="89">
        <v>44375.083333333336</v>
      </c>
      <c r="C3942" s="92" t="s">
        <v>3677</v>
      </c>
      <c r="D3942" s="62"/>
      <c r="E3942" s="91">
        <v>5356000</v>
      </c>
      <c r="F3942" s="93"/>
      <c r="G3942" s="93">
        <f t="shared" si="773"/>
        <v>5356000</v>
      </c>
      <c r="H3942" s="94"/>
      <c r="I3942" s="94"/>
      <c r="J3942" s="25">
        <v>45840.72</v>
      </c>
      <c r="K3942" s="25">
        <f t="shared" si="774"/>
        <v>5310159.28</v>
      </c>
      <c r="L3942" s="95">
        <f t="shared" si="775"/>
        <v>39098801</v>
      </c>
      <c r="M3942" s="20"/>
      <c r="N3942" s="20"/>
      <c r="P3942" s="84">
        <v>9420832889</v>
      </c>
      <c r="Q3942" s="174">
        <v>44317</v>
      </c>
      <c r="R3942" s="125">
        <v>267800</v>
      </c>
      <c r="S3942" s="125">
        <v>342800</v>
      </c>
      <c r="U3942" s="3">
        <f>+U3939*16%</f>
        <v>3553527.4240000006</v>
      </c>
      <c r="V3942" s="173" t="s">
        <v>12</v>
      </c>
    </row>
    <row r="3943" spans="1:24" ht="15" hidden="1" x14ac:dyDescent="0.25">
      <c r="B3943" s="89">
        <v>44411</v>
      </c>
      <c r="C3943" s="92" t="s">
        <v>3678</v>
      </c>
      <c r="D3943" s="62"/>
      <c r="E3943" s="91">
        <v>5356000</v>
      </c>
      <c r="F3943" s="93"/>
      <c r="G3943" s="93">
        <f t="shared" si="773"/>
        <v>5356000</v>
      </c>
      <c r="H3943" s="94"/>
      <c r="I3943" s="94"/>
      <c r="J3943" s="25">
        <v>45840.72</v>
      </c>
      <c r="K3943" s="25">
        <f t="shared" si="774"/>
        <v>5310159.28</v>
      </c>
      <c r="L3943" s="95">
        <f>+L3942-G3943</f>
        <v>33742801</v>
      </c>
      <c r="M3943" s="20"/>
      <c r="N3943" s="20"/>
      <c r="P3943" s="84">
        <v>9421149019</v>
      </c>
      <c r="Q3943" s="174">
        <v>44348</v>
      </c>
      <c r="R3943" s="125">
        <v>267800</v>
      </c>
      <c r="S3943" s="125">
        <v>342800</v>
      </c>
      <c r="W3943" s="31">
        <v>5356000</v>
      </c>
      <c r="X3943" s="131">
        <f>+E3943-W3943</f>
        <v>0</v>
      </c>
    </row>
    <row r="3944" spans="1:24" ht="15" hidden="1" x14ac:dyDescent="0.25">
      <c r="B3944" s="89">
        <v>44427</v>
      </c>
      <c r="C3944" s="92" t="s">
        <v>3679</v>
      </c>
      <c r="D3944" s="62"/>
      <c r="E3944" s="91">
        <v>5356000</v>
      </c>
      <c r="F3944" s="93"/>
      <c r="G3944" s="93">
        <f t="shared" si="773"/>
        <v>5356000</v>
      </c>
      <c r="H3944" s="94"/>
      <c r="I3944" s="94"/>
      <c r="J3944" s="25">
        <v>45840.72</v>
      </c>
      <c r="K3944" s="25">
        <f t="shared" si="774"/>
        <v>5310159.28</v>
      </c>
      <c r="L3944" s="95">
        <f t="shared" si="775"/>
        <v>28386801</v>
      </c>
      <c r="M3944" s="20"/>
      <c r="N3944" s="20"/>
      <c r="P3944" s="84">
        <v>9422330515</v>
      </c>
      <c r="Q3944" s="174">
        <v>44378</v>
      </c>
      <c r="R3944" s="125">
        <v>267800</v>
      </c>
      <c r="S3944" s="125">
        <v>342800</v>
      </c>
      <c r="W3944" s="31" t="e">
        <v>#N/A</v>
      </c>
      <c r="X3944" s="131" t="e">
        <f>+E3944-W3944</f>
        <v>#N/A</v>
      </c>
    </row>
    <row r="3945" spans="1:24" ht="15" hidden="1" x14ac:dyDescent="0.25">
      <c r="B3945" s="89">
        <v>44508.125</v>
      </c>
      <c r="C3945" s="92" t="s">
        <v>3680</v>
      </c>
      <c r="D3945" s="62"/>
      <c r="E3945" s="91">
        <v>5356000</v>
      </c>
      <c r="F3945" s="93"/>
      <c r="G3945" s="93">
        <f t="shared" si="773"/>
        <v>5356000</v>
      </c>
      <c r="H3945" s="94"/>
      <c r="I3945" s="94"/>
      <c r="J3945" s="25">
        <v>45840.72</v>
      </c>
      <c r="K3945" s="25">
        <f t="shared" si="774"/>
        <v>5310159.28</v>
      </c>
      <c r="L3945" s="95">
        <f>+L3944-G3945</f>
        <v>23030801</v>
      </c>
      <c r="M3945" s="20"/>
      <c r="N3945" s="20"/>
      <c r="P3945" s="84">
        <v>9425671033</v>
      </c>
      <c r="Q3945" s="174">
        <v>44409</v>
      </c>
      <c r="R3945" s="125">
        <v>267800</v>
      </c>
      <c r="S3945" s="125">
        <v>342800</v>
      </c>
      <c r="W3945" s="31"/>
      <c r="X3945" s="131"/>
    </row>
    <row r="3946" spans="1:24" ht="15" hidden="1" x14ac:dyDescent="0.25">
      <c r="B3946" s="89">
        <v>44508.125</v>
      </c>
      <c r="C3946" s="92" t="s">
        <v>3681</v>
      </c>
      <c r="D3946" s="62"/>
      <c r="E3946" s="91">
        <v>5356000</v>
      </c>
      <c r="F3946" s="93"/>
      <c r="G3946" s="93">
        <f t="shared" si="773"/>
        <v>5356000</v>
      </c>
      <c r="H3946" s="94"/>
      <c r="I3946" s="94"/>
      <c r="J3946" s="25">
        <v>45840.72</v>
      </c>
      <c r="K3946" s="25">
        <f t="shared" si="774"/>
        <v>5310159.28</v>
      </c>
      <c r="L3946" s="95">
        <f>+L3945-G3946</f>
        <v>17674801</v>
      </c>
      <c r="M3946" s="20"/>
      <c r="N3946" s="20"/>
      <c r="P3946" s="84">
        <v>9425671044</v>
      </c>
      <c r="Q3946" s="174">
        <v>44440</v>
      </c>
      <c r="R3946" s="125">
        <v>267800</v>
      </c>
      <c r="S3946" s="125">
        <v>342800</v>
      </c>
      <c r="W3946" s="31"/>
      <c r="X3946" s="131"/>
    </row>
    <row r="3947" spans="1:24" ht="15" hidden="1" x14ac:dyDescent="0.25">
      <c r="B3947" s="89">
        <v>44533.125</v>
      </c>
      <c r="C3947" s="92" t="s">
        <v>3682</v>
      </c>
      <c r="D3947" s="62"/>
      <c r="E3947" s="91">
        <v>5356000</v>
      </c>
      <c r="F3947" s="93"/>
      <c r="G3947" s="93">
        <f t="shared" si="773"/>
        <v>5356000</v>
      </c>
      <c r="H3947" s="94"/>
      <c r="I3947" s="94"/>
      <c r="J3947" s="25">
        <v>45840.72</v>
      </c>
      <c r="K3947" s="25">
        <f t="shared" si="774"/>
        <v>5310159.28</v>
      </c>
      <c r="L3947" s="95">
        <f>+L3946-G3947</f>
        <v>12318801</v>
      </c>
      <c r="M3947" s="20"/>
      <c r="N3947" s="20"/>
      <c r="P3947" s="84" t="s">
        <v>3683</v>
      </c>
      <c r="Q3947" s="174">
        <v>44470</v>
      </c>
      <c r="R3947" s="125">
        <v>352700</v>
      </c>
      <c r="S3947" s="125">
        <v>451400</v>
      </c>
      <c r="W3947" s="31"/>
      <c r="X3947" s="131"/>
    </row>
    <row r="3948" spans="1:24" ht="15" hidden="1" x14ac:dyDescent="0.25">
      <c r="B3948" s="89">
        <v>44545.125</v>
      </c>
      <c r="C3948" s="284" t="s">
        <v>3684</v>
      </c>
      <c r="D3948" s="287"/>
      <c r="E3948" s="203">
        <v>5356000</v>
      </c>
      <c r="F3948" s="201"/>
      <c r="G3948" s="201">
        <f t="shared" si="773"/>
        <v>5356000</v>
      </c>
      <c r="H3948" s="202"/>
      <c r="I3948" s="202"/>
      <c r="J3948" s="204">
        <v>45840.72</v>
      </c>
      <c r="K3948" s="204">
        <f t="shared" si="774"/>
        <v>5310159.28</v>
      </c>
      <c r="L3948" s="95">
        <f>+L3947-G3948</f>
        <v>6962801</v>
      </c>
      <c r="M3948" s="20"/>
      <c r="N3948" s="20"/>
      <c r="P3948" s="84">
        <v>9427519585</v>
      </c>
      <c r="Q3948" s="174">
        <v>44501</v>
      </c>
      <c r="R3948" s="125">
        <v>267800</v>
      </c>
      <c r="S3948" s="125">
        <v>342800</v>
      </c>
      <c r="W3948" s="31"/>
      <c r="X3948" s="131"/>
    </row>
    <row r="3949" spans="1:24" ht="15" x14ac:dyDescent="0.25">
      <c r="B3949" s="100">
        <v>44642.083333333336</v>
      </c>
      <c r="C3949" s="92" t="s">
        <v>3685</v>
      </c>
      <c r="D3949" s="62"/>
      <c r="E3949" s="91">
        <v>5356000</v>
      </c>
      <c r="F3949" s="93"/>
      <c r="G3949" s="93">
        <f t="shared" si="773"/>
        <v>5356000</v>
      </c>
      <c r="H3949" s="94"/>
      <c r="I3949" s="94"/>
      <c r="J3949" s="25">
        <v>36349.89</v>
      </c>
      <c r="K3949" s="25">
        <f t="shared" si="774"/>
        <v>5319650.1100000003</v>
      </c>
      <c r="L3949" s="95">
        <f>+L3948-G3949</f>
        <v>1606801</v>
      </c>
      <c r="M3949" s="20"/>
      <c r="N3949" s="20"/>
      <c r="P3949" s="84">
        <v>9428579458</v>
      </c>
      <c r="Q3949" s="174">
        <v>44531</v>
      </c>
      <c r="R3949" s="125">
        <v>267800</v>
      </c>
      <c r="S3949" s="125">
        <v>342800</v>
      </c>
      <c r="W3949" s="31"/>
      <c r="X3949" s="131"/>
    </row>
    <row r="3950" spans="1:24" ht="15" hidden="1" x14ac:dyDescent="0.25">
      <c r="B3950" s="89"/>
      <c r="C3950" s="290"/>
      <c r="D3950" s="295"/>
      <c r="E3950" s="292"/>
      <c r="F3950" s="207"/>
      <c r="G3950" s="207"/>
      <c r="H3950" s="293"/>
      <c r="I3950" s="293"/>
      <c r="J3950" s="208"/>
      <c r="K3950" s="208"/>
      <c r="L3950" s="95"/>
      <c r="M3950" s="20"/>
      <c r="N3950" s="20"/>
      <c r="P3950" s="84"/>
      <c r="Q3950" s="174"/>
      <c r="R3950" s="177">
        <f>SUM(R3939:R3949)</f>
        <v>2913000</v>
      </c>
      <c r="S3950" s="177">
        <f>SUM(S3939:S3949)</f>
        <v>3728700</v>
      </c>
      <c r="W3950" s="31"/>
      <c r="X3950" s="131"/>
    </row>
    <row r="3951" spans="1:24" ht="15" hidden="1" x14ac:dyDescent="0.25">
      <c r="A3951" s="21">
        <v>2322021</v>
      </c>
      <c r="B3951" s="139" t="s">
        <v>3686</v>
      </c>
      <c r="C3951" s="140"/>
      <c r="D3951" s="141">
        <v>85333333</v>
      </c>
      <c r="E3951" s="141">
        <v>90640000</v>
      </c>
      <c r="F3951" s="141"/>
      <c r="G3951" s="141"/>
      <c r="H3951" s="141"/>
      <c r="I3951" s="141"/>
      <c r="J3951" s="141"/>
      <c r="K3951" s="141"/>
      <c r="L3951" s="141">
        <v>90640000</v>
      </c>
      <c r="M3951" s="142"/>
      <c r="N3951" s="142"/>
      <c r="O3951" s="149">
        <f>+VLOOKUP(A3951,'[1]ANEXO 7 - PPTO VIG 2021'!$H$8:$AB$160,21,)-L3962</f>
        <v>-2746667</v>
      </c>
    </row>
    <row r="3952" spans="1:24" ht="15" hidden="1" x14ac:dyDescent="0.25">
      <c r="B3952" s="89">
        <v>44322.083333333336</v>
      </c>
      <c r="C3952" s="92" t="s">
        <v>3687</v>
      </c>
      <c r="D3952" s="23"/>
      <c r="E3952" s="91">
        <v>5493333</v>
      </c>
      <c r="F3952" s="93"/>
      <c r="G3952" s="93">
        <f t="shared" ref="G3952:G3962" si="776">+E3952</f>
        <v>5493333</v>
      </c>
      <c r="H3952" s="94"/>
      <c r="I3952" s="91"/>
      <c r="J3952" s="91">
        <v>47016.12</v>
      </c>
      <c r="K3952" s="25">
        <f t="shared" ref="K3952:K3962" si="777">+G3952-H3952-I3952-J3952</f>
        <v>5446316.8799999999</v>
      </c>
      <c r="L3952" s="95">
        <f t="shared" ref="L3952:L3962" si="778">+L3951-G3952</f>
        <v>85146667</v>
      </c>
      <c r="M3952" s="20">
        <v>5493333</v>
      </c>
      <c r="N3952" s="20">
        <f>+G3952-M3952</f>
        <v>0</v>
      </c>
      <c r="O3952" s="130"/>
      <c r="P3952" s="55">
        <v>1036294932</v>
      </c>
      <c r="Q3952" s="127">
        <v>44228</v>
      </c>
      <c r="R3952" s="14">
        <v>413500</v>
      </c>
      <c r="S3952" s="14">
        <v>529300</v>
      </c>
      <c r="T3952" s="3">
        <f>+L3951-2746667</f>
        <v>87893333</v>
      </c>
      <c r="U3952" s="3">
        <f>+T3952*40%</f>
        <v>35157333.200000003</v>
      </c>
    </row>
    <row r="3953" spans="1:24" ht="15" hidden="1" x14ac:dyDescent="0.25">
      <c r="B3953" s="89">
        <v>44326.083333333336</v>
      </c>
      <c r="C3953" s="92" t="s">
        <v>3688</v>
      </c>
      <c r="D3953" s="23"/>
      <c r="E3953" s="91">
        <v>8240000</v>
      </c>
      <c r="F3953" s="93"/>
      <c r="G3953" s="93">
        <f t="shared" si="776"/>
        <v>8240000</v>
      </c>
      <c r="H3953" s="94"/>
      <c r="I3953" s="91">
        <v>265096.53999999998</v>
      </c>
      <c r="J3953" s="91">
        <v>70524.179999999993</v>
      </c>
      <c r="K3953" s="25">
        <f t="shared" si="777"/>
        <v>7904379.2800000003</v>
      </c>
      <c r="L3953" s="95">
        <f t="shared" si="778"/>
        <v>76906667</v>
      </c>
      <c r="M3953" s="20">
        <v>8240000</v>
      </c>
      <c r="N3953" s="20">
        <f>+G3953-M3953</f>
        <v>0</v>
      </c>
      <c r="O3953" s="130"/>
      <c r="P3953" s="55">
        <v>1036296330</v>
      </c>
      <c r="Q3953" s="127">
        <v>44256</v>
      </c>
      <c r="R3953" s="14">
        <v>413500</v>
      </c>
      <c r="S3953" s="14">
        <v>529300</v>
      </c>
      <c r="U3953" s="3"/>
    </row>
    <row r="3954" spans="1:24" ht="15" hidden="1" x14ac:dyDescent="0.25">
      <c r="B3954" s="89">
        <v>44328.083333333336</v>
      </c>
      <c r="C3954" s="92" t="s">
        <v>3689</v>
      </c>
      <c r="D3954" s="23"/>
      <c r="E3954" s="91">
        <v>8240000</v>
      </c>
      <c r="F3954" s="93"/>
      <c r="G3954" s="93">
        <f t="shared" si="776"/>
        <v>8240000</v>
      </c>
      <c r="H3954" s="94"/>
      <c r="I3954" s="91">
        <v>265096.53999999998</v>
      </c>
      <c r="J3954" s="91">
        <v>70524.179999999993</v>
      </c>
      <c r="K3954" s="25">
        <f t="shared" si="777"/>
        <v>7904379.2800000003</v>
      </c>
      <c r="L3954" s="95">
        <f t="shared" si="778"/>
        <v>68666667</v>
      </c>
      <c r="M3954" s="20">
        <v>8240000</v>
      </c>
      <c r="N3954" s="20">
        <f>+G3954-M3954</f>
        <v>0</v>
      </c>
      <c r="O3954" s="130"/>
      <c r="P3954" s="55">
        <v>1037389617</v>
      </c>
      <c r="Q3954" s="127">
        <v>44287</v>
      </c>
      <c r="R3954" s="14">
        <v>413500</v>
      </c>
      <c r="S3954" s="14">
        <v>529300</v>
      </c>
      <c r="U3954" s="3">
        <f>+U3952*12.5%</f>
        <v>4394666.6500000004</v>
      </c>
      <c r="V3954" s="173" t="s">
        <v>2769</v>
      </c>
    </row>
    <row r="3955" spans="1:24" ht="15" hidden="1" x14ac:dyDescent="0.25">
      <c r="B3955" s="89">
        <v>44376.083333333336</v>
      </c>
      <c r="C3955" s="92" t="s">
        <v>3690</v>
      </c>
      <c r="D3955" s="23"/>
      <c r="E3955" s="91">
        <v>8240000</v>
      </c>
      <c r="F3955" s="93"/>
      <c r="G3955" s="93">
        <f t="shared" si="776"/>
        <v>8240000</v>
      </c>
      <c r="H3955" s="94"/>
      <c r="I3955" s="91">
        <v>265096.53999999998</v>
      </c>
      <c r="J3955" s="91">
        <v>70524.179999999993</v>
      </c>
      <c r="K3955" s="25">
        <f t="shared" si="777"/>
        <v>7904379.2800000003</v>
      </c>
      <c r="L3955" s="95">
        <f t="shared" si="778"/>
        <v>60426667</v>
      </c>
      <c r="M3955" s="20"/>
      <c r="N3955" s="20"/>
      <c r="O3955" s="130"/>
      <c r="P3955" s="55">
        <v>1037616106</v>
      </c>
      <c r="Q3955" s="127">
        <v>44317</v>
      </c>
      <c r="R3955" s="14">
        <v>413500</v>
      </c>
      <c r="S3955" s="14">
        <v>529300</v>
      </c>
      <c r="U3955" s="3">
        <f>+U3952*16%</f>
        <v>5625173.3120000008</v>
      </c>
      <c r="V3955" s="172" t="s">
        <v>2771</v>
      </c>
    </row>
    <row r="3956" spans="1:24" ht="15" hidden="1" x14ac:dyDescent="0.25">
      <c r="B3956" s="89">
        <v>44433.083333333336</v>
      </c>
      <c r="C3956" s="92" t="s">
        <v>3691</v>
      </c>
      <c r="D3956" s="23"/>
      <c r="E3956" s="91">
        <v>8240000</v>
      </c>
      <c r="F3956" s="93"/>
      <c r="G3956" s="93">
        <f t="shared" si="776"/>
        <v>8240000</v>
      </c>
      <c r="H3956" s="94"/>
      <c r="I3956" s="91">
        <v>265096.53999999998</v>
      </c>
      <c r="J3956" s="91">
        <v>70524.179999999993</v>
      </c>
      <c r="K3956" s="25">
        <f t="shared" si="777"/>
        <v>7904379.2800000003</v>
      </c>
      <c r="L3956" s="95">
        <f t="shared" si="778"/>
        <v>52186667</v>
      </c>
      <c r="M3956" s="20"/>
      <c r="N3956" s="20"/>
      <c r="O3956" s="130"/>
      <c r="P3956" s="55">
        <v>1038078535</v>
      </c>
      <c r="Q3956" s="127">
        <v>44348</v>
      </c>
      <c r="R3956" s="14">
        <v>413500</v>
      </c>
      <c r="S3956" s="14">
        <v>529300</v>
      </c>
      <c r="W3956" s="31">
        <v>8240000</v>
      </c>
      <c r="X3956" s="131">
        <f>+E3956-W3956</f>
        <v>0</v>
      </c>
    </row>
    <row r="3957" spans="1:24" ht="15" hidden="1" x14ac:dyDescent="0.25">
      <c r="B3957" s="89">
        <v>44433.083333333336</v>
      </c>
      <c r="C3957" s="92" t="s">
        <v>3692</v>
      </c>
      <c r="D3957" s="23"/>
      <c r="E3957" s="91">
        <v>8240000</v>
      </c>
      <c r="F3957" s="93"/>
      <c r="G3957" s="93">
        <f t="shared" si="776"/>
        <v>8240000</v>
      </c>
      <c r="H3957" s="94"/>
      <c r="I3957" s="91">
        <v>265096.53999999998</v>
      </c>
      <c r="J3957" s="91">
        <v>70524.179999999993</v>
      </c>
      <c r="K3957" s="25">
        <f t="shared" si="777"/>
        <v>7904379.2800000003</v>
      </c>
      <c r="L3957" s="95">
        <f t="shared" si="778"/>
        <v>43946667</v>
      </c>
      <c r="M3957" s="20"/>
      <c r="N3957" s="20"/>
      <c r="O3957" s="130"/>
      <c r="P3957" s="55">
        <v>1039293190</v>
      </c>
      <c r="Q3957" s="127">
        <v>44378</v>
      </c>
      <c r="R3957" s="14">
        <v>413500</v>
      </c>
      <c r="S3957" s="14">
        <v>529300</v>
      </c>
      <c r="W3957" s="31">
        <v>8240000</v>
      </c>
      <c r="X3957" s="131">
        <f>+E3957-W3957</f>
        <v>0</v>
      </c>
    </row>
    <row r="3958" spans="1:24" ht="15" hidden="1" x14ac:dyDescent="0.25">
      <c r="B3958" s="89">
        <v>44474.083333333336</v>
      </c>
      <c r="C3958" s="92" t="s">
        <v>3693</v>
      </c>
      <c r="D3958" s="23"/>
      <c r="E3958" s="91">
        <v>8240000</v>
      </c>
      <c r="F3958" s="93"/>
      <c r="G3958" s="93">
        <f t="shared" si="776"/>
        <v>8240000</v>
      </c>
      <c r="H3958" s="94"/>
      <c r="I3958" s="91">
        <v>265096.53999999998</v>
      </c>
      <c r="J3958" s="91">
        <v>70524.179999999993</v>
      </c>
      <c r="K3958" s="25">
        <f t="shared" si="777"/>
        <v>7904379.2800000003</v>
      </c>
      <c r="L3958" s="95">
        <f t="shared" si="778"/>
        <v>35706667</v>
      </c>
      <c r="M3958" s="20"/>
      <c r="N3958" s="20"/>
      <c r="O3958" s="130"/>
      <c r="P3958" s="84">
        <v>1039293393</v>
      </c>
      <c r="Q3958" s="127">
        <v>44409</v>
      </c>
      <c r="R3958" s="14">
        <v>413500</v>
      </c>
      <c r="S3958" s="14">
        <v>529300</v>
      </c>
      <c r="W3958" s="31"/>
      <c r="X3958" s="131"/>
    </row>
    <row r="3959" spans="1:24" ht="15" hidden="1" x14ac:dyDescent="0.25">
      <c r="B3959" s="89">
        <v>44504.083333333336</v>
      </c>
      <c r="C3959" s="92" t="s">
        <v>3694</v>
      </c>
      <c r="D3959" s="23"/>
      <c r="E3959" s="91">
        <v>8240000</v>
      </c>
      <c r="F3959" s="93"/>
      <c r="G3959" s="93">
        <f t="shared" si="776"/>
        <v>8240000</v>
      </c>
      <c r="H3959" s="94"/>
      <c r="I3959" s="91">
        <v>265096.53999999998</v>
      </c>
      <c r="J3959" s="91">
        <v>70524.179999999993</v>
      </c>
      <c r="K3959" s="25">
        <f t="shared" si="777"/>
        <v>7904379.2800000003</v>
      </c>
      <c r="L3959" s="95">
        <f t="shared" si="778"/>
        <v>27466667</v>
      </c>
      <c r="M3959" s="20"/>
      <c r="N3959" s="20"/>
      <c r="O3959" s="130"/>
      <c r="P3959" s="84">
        <v>1040327226</v>
      </c>
      <c r="Q3959" s="127">
        <v>44440</v>
      </c>
      <c r="R3959" s="14">
        <v>413500</v>
      </c>
      <c r="S3959" s="14">
        <v>529300</v>
      </c>
      <c r="W3959" s="31"/>
      <c r="X3959" s="131"/>
    </row>
    <row r="3960" spans="1:24" ht="15" hidden="1" x14ac:dyDescent="0.25">
      <c r="B3960" s="89">
        <v>44543.125</v>
      </c>
      <c r="C3960" s="92" t="s">
        <v>3695</v>
      </c>
      <c r="D3960" s="23"/>
      <c r="E3960" s="91">
        <v>8240000</v>
      </c>
      <c r="F3960" s="93"/>
      <c r="G3960" s="93">
        <f t="shared" si="776"/>
        <v>8240000</v>
      </c>
      <c r="H3960" s="94"/>
      <c r="I3960" s="91">
        <v>265096.53999999998</v>
      </c>
      <c r="J3960" s="91">
        <v>70524.179999999993</v>
      </c>
      <c r="K3960" s="25">
        <f t="shared" si="777"/>
        <v>7904379.2800000003</v>
      </c>
      <c r="L3960" s="95">
        <f t="shared" si="778"/>
        <v>19226667</v>
      </c>
      <c r="M3960" s="20"/>
      <c r="N3960" s="20"/>
      <c r="O3960" s="130"/>
      <c r="P3960" s="84">
        <v>1040869310</v>
      </c>
      <c r="Q3960" s="127">
        <v>44470</v>
      </c>
      <c r="R3960" s="14">
        <v>413500</v>
      </c>
      <c r="S3960" s="14">
        <v>529300</v>
      </c>
      <c r="W3960" s="31"/>
      <c r="X3960" s="131"/>
    </row>
    <row r="3961" spans="1:24" ht="15" hidden="1" x14ac:dyDescent="0.25">
      <c r="B3961" s="89">
        <v>44551.125</v>
      </c>
      <c r="C3961" s="92" t="s">
        <v>3696</v>
      </c>
      <c r="D3961" s="23"/>
      <c r="E3961" s="91">
        <v>8240000</v>
      </c>
      <c r="F3961" s="93"/>
      <c r="G3961" s="93">
        <f t="shared" si="776"/>
        <v>8240000</v>
      </c>
      <c r="H3961" s="94"/>
      <c r="I3961" s="91">
        <v>265096.53999999998</v>
      </c>
      <c r="J3961" s="91">
        <v>70524.179999999993</v>
      </c>
      <c r="K3961" s="25">
        <f t="shared" si="777"/>
        <v>7904379.2800000003</v>
      </c>
      <c r="L3961" s="95">
        <f t="shared" si="778"/>
        <v>10986667</v>
      </c>
      <c r="M3961" s="20"/>
      <c r="N3961" s="20"/>
      <c r="O3961" s="130"/>
      <c r="P3961" s="84">
        <v>1041947060</v>
      </c>
      <c r="Q3961" s="127">
        <v>44501</v>
      </c>
      <c r="R3961" s="14">
        <v>413500</v>
      </c>
      <c r="S3961" s="14">
        <v>529300</v>
      </c>
      <c r="W3961" s="31"/>
      <c r="X3961" s="131"/>
    </row>
    <row r="3962" spans="1:24" ht="15" hidden="1" x14ac:dyDescent="0.25">
      <c r="B3962" s="89">
        <v>44551.125</v>
      </c>
      <c r="C3962" s="92" t="s">
        <v>3697</v>
      </c>
      <c r="D3962" s="23"/>
      <c r="E3962" s="91">
        <v>8240000</v>
      </c>
      <c r="F3962" s="93"/>
      <c r="G3962" s="93">
        <f t="shared" si="776"/>
        <v>8240000</v>
      </c>
      <c r="H3962" s="94"/>
      <c r="I3962" s="91">
        <v>265096.53999999998</v>
      </c>
      <c r="J3962" s="91">
        <v>70524.179999999993</v>
      </c>
      <c r="K3962" s="25">
        <f t="shared" si="777"/>
        <v>7904379.2800000003</v>
      </c>
      <c r="L3962" s="95">
        <f t="shared" si="778"/>
        <v>2746667</v>
      </c>
      <c r="M3962" s="20"/>
      <c r="N3962" s="20"/>
      <c r="O3962" s="130"/>
      <c r="P3962" s="84">
        <v>1042297668</v>
      </c>
      <c r="Q3962" s="127">
        <v>44531</v>
      </c>
      <c r="R3962" s="14">
        <v>413500</v>
      </c>
      <c r="S3962" s="14">
        <v>529300</v>
      </c>
      <c r="W3962" s="31"/>
      <c r="X3962" s="131"/>
    </row>
    <row r="3963" spans="1:24" ht="15" hidden="1" x14ac:dyDescent="0.25">
      <c r="B3963" s="89"/>
      <c r="C3963" s="92"/>
      <c r="D3963" s="23"/>
      <c r="E3963" s="91"/>
      <c r="F3963" s="93"/>
      <c r="G3963" s="93"/>
      <c r="H3963" s="94"/>
      <c r="I3963" s="91"/>
      <c r="J3963" s="91"/>
      <c r="K3963" s="25"/>
      <c r="L3963" s="95"/>
      <c r="M3963" s="20"/>
      <c r="N3963" s="20"/>
      <c r="O3963" s="130"/>
      <c r="P3963" s="84"/>
      <c r="Q3963" s="174"/>
      <c r="R3963" s="178">
        <f>SUM(R3952:R3962)</f>
        <v>4548500</v>
      </c>
      <c r="S3963" s="177">
        <f>SUM(S3952:S3962)</f>
        <v>5822300</v>
      </c>
      <c r="W3963" s="31"/>
      <c r="X3963" s="131"/>
    </row>
    <row r="3964" spans="1:24" ht="15" hidden="1" x14ac:dyDescent="0.25">
      <c r="A3964" s="21">
        <v>3692021</v>
      </c>
      <c r="B3964" s="139" t="s">
        <v>3698</v>
      </c>
      <c r="C3964" s="140"/>
      <c r="D3964" s="141">
        <v>30358320</v>
      </c>
      <c r="E3964" s="141">
        <f>+D3964</f>
        <v>30358320</v>
      </c>
      <c r="F3964" s="141"/>
      <c r="G3964" s="141"/>
      <c r="H3964" s="141"/>
      <c r="I3964" s="141"/>
      <c r="J3964" s="141"/>
      <c r="K3964" s="141"/>
      <c r="L3964" s="141">
        <v>30368520</v>
      </c>
      <c r="M3964" s="142"/>
      <c r="N3964" s="142"/>
      <c r="O3964" s="149">
        <f>+VLOOKUP(A3964,'[1]ANEXO 7 - PPTO VIG 2021'!$H$8:$AB$160,21,)-L3973</f>
        <v>0</v>
      </c>
    </row>
    <row r="3965" spans="1:24" ht="15" hidden="1" x14ac:dyDescent="0.25">
      <c r="B3965" s="89">
        <v>44323.083333333336</v>
      </c>
      <c r="C3965" s="92" t="s">
        <v>3699</v>
      </c>
      <c r="D3965" s="62"/>
      <c r="E3965" s="91">
        <v>1462188</v>
      </c>
      <c r="F3965" s="93"/>
      <c r="G3965" s="93">
        <f t="shared" ref="G3965:G3973" si="779">+E3965</f>
        <v>1462188</v>
      </c>
      <c r="H3965" s="94"/>
      <c r="I3965" s="94"/>
      <c r="J3965" s="91">
        <v>12514.52</v>
      </c>
      <c r="K3965" s="25">
        <f t="shared" ref="K3965:K3973" si="780">+G3965-H3965-I3965-J3965</f>
        <v>1449673.48</v>
      </c>
      <c r="L3965" s="95">
        <f t="shared" ref="L3965:L3973" si="781">+L3964-G3965</f>
        <v>28906332</v>
      </c>
      <c r="M3965" s="20">
        <v>1462188</v>
      </c>
      <c r="N3965" s="20">
        <f>+G3965-M3965</f>
        <v>0</v>
      </c>
      <c r="P3965" s="55">
        <v>47349798</v>
      </c>
      <c r="Q3965" s="127">
        <v>44256</v>
      </c>
      <c r="R3965" s="14">
        <v>144200</v>
      </c>
      <c r="S3965" s="14">
        <v>166100</v>
      </c>
    </row>
    <row r="3966" spans="1:24" ht="15" hidden="1" x14ac:dyDescent="0.25">
      <c r="B3966" s="89">
        <v>44370.083333333336</v>
      </c>
      <c r="C3966" s="92" t="s">
        <v>3700</v>
      </c>
      <c r="D3966" s="62"/>
      <c r="E3966" s="91">
        <v>3374280</v>
      </c>
      <c r="F3966" s="93"/>
      <c r="G3966" s="93">
        <f t="shared" si="779"/>
        <v>3374280</v>
      </c>
      <c r="H3966" s="94"/>
      <c r="I3966" s="94"/>
      <c r="J3966" s="91">
        <v>28879.65</v>
      </c>
      <c r="K3966" s="25">
        <f t="shared" si="780"/>
        <v>3345400.35</v>
      </c>
      <c r="L3966" s="95">
        <f t="shared" si="781"/>
        <v>25532052</v>
      </c>
      <c r="M3966" s="20"/>
      <c r="N3966" s="20"/>
      <c r="P3966" s="55">
        <v>9420908569</v>
      </c>
      <c r="Q3966" s="127">
        <v>44287</v>
      </c>
      <c r="R3966" s="14">
        <v>168800</v>
      </c>
      <c r="S3966" s="14">
        <v>216000</v>
      </c>
    </row>
    <row r="3967" spans="1:24" ht="15" hidden="1" x14ac:dyDescent="0.25">
      <c r="B3967" s="89">
        <v>44421.083333333336</v>
      </c>
      <c r="C3967" s="92" t="s">
        <v>3701</v>
      </c>
      <c r="D3967" s="62"/>
      <c r="E3967" s="91">
        <v>3374280</v>
      </c>
      <c r="F3967" s="93"/>
      <c r="G3967" s="93">
        <f t="shared" si="779"/>
        <v>3374280</v>
      </c>
      <c r="H3967" s="94"/>
      <c r="I3967" s="94"/>
      <c r="J3967" s="91">
        <v>28879.65</v>
      </c>
      <c r="K3967" s="25">
        <f t="shared" si="780"/>
        <v>3345400.35</v>
      </c>
      <c r="L3967" s="95">
        <f t="shared" si="781"/>
        <v>22157772</v>
      </c>
      <c r="M3967" s="20"/>
      <c r="N3967" s="20"/>
      <c r="P3967" s="84">
        <v>9420909688</v>
      </c>
      <c r="Q3967" s="127">
        <v>44317</v>
      </c>
      <c r="R3967" s="14">
        <v>168800</v>
      </c>
      <c r="S3967" s="14">
        <v>216000</v>
      </c>
      <c r="W3967" s="31">
        <v>3374280</v>
      </c>
      <c r="X3967" s="131">
        <f>+E3967-W3967</f>
        <v>0</v>
      </c>
    </row>
    <row r="3968" spans="1:24" ht="15" hidden="1" x14ac:dyDescent="0.25">
      <c r="B3968" s="89">
        <v>44533.125</v>
      </c>
      <c r="C3968" s="92" t="s">
        <v>3702</v>
      </c>
      <c r="D3968" s="62"/>
      <c r="E3968" s="91">
        <v>3374280</v>
      </c>
      <c r="F3968" s="93"/>
      <c r="G3968" s="93">
        <f t="shared" si="779"/>
        <v>3374280</v>
      </c>
      <c r="H3968" s="94"/>
      <c r="I3968" s="94"/>
      <c r="J3968" s="91">
        <v>28879.65</v>
      </c>
      <c r="K3968" s="25">
        <f t="shared" si="780"/>
        <v>3345400.35</v>
      </c>
      <c r="L3968" s="95">
        <f t="shared" si="781"/>
        <v>18783492</v>
      </c>
      <c r="M3968" s="20"/>
      <c r="N3968" s="20"/>
      <c r="P3968" s="84">
        <v>9421393664</v>
      </c>
      <c r="Q3968" s="127">
        <v>44348</v>
      </c>
      <c r="R3968" s="14">
        <v>168800</v>
      </c>
      <c r="S3968" s="14">
        <v>216000</v>
      </c>
      <c r="W3968" s="31"/>
      <c r="X3968" s="131"/>
    </row>
    <row r="3969" spans="1:24" ht="15" hidden="1" x14ac:dyDescent="0.25">
      <c r="B3969" s="89">
        <v>44533.125</v>
      </c>
      <c r="C3969" s="92" t="s">
        <v>3703</v>
      </c>
      <c r="D3969" s="62"/>
      <c r="E3969" s="91">
        <v>3374280</v>
      </c>
      <c r="F3969" s="93"/>
      <c r="G3969" s="93">
        <f t="shared" si="779"/>
        <v>3374280</v>
      </c>
      <c r="H3969" s="94"/>
      <c r="I3969" s="94"/>
      <c r="J3969" s="91">
        <v>28879.65</v>
      </c>
      <c r="K3969" s="25">
        <f t="shared" si="780"/>
        <v>3345400.35</v>
      </c>
      <c r="L3969" s="95">
        <f t="shared" si="781"/>
        <v>15409212</v>
      </c>
      <c r="M3969" s="20"/>
      <c r="N3969" s="20"/>
      <c r="P3969" s="84">
        <v>9422553202</v>
      </c>
      <c r="Q3969" s="127">
        <v>44378</v>
      </c>
      <c r="R3969" s="14">
        <v>168800</v>
      </c>
      <c r="S3969" s="14">
        <v>216000</v>
      </c>
      <c r="W3969" s="31"/>
      <c r="X3969" s="131"/>
    </row>
    <row r="3970" spans="1:24" ht="15" hidden="1" x14ac:dyDescent="0.25">
      <c r="B3970" s="89">
        <v>44539.125</v>
      </c>
      <c r="C3970" s="92" t="s">
        <v>3704</v>
      </c>
      <c r="D3970" s="62"/>
      <c r="E3970" s="91">
        <v>3374280</v>
      </c>
      <c r="F3970" s="93"/>
      <c r="G3970" s="93">
        <f t="shared" si="779"/>
        <v>3374280</v>
      </c>
      <c r="H3970" s="94"/>
      <c r="I3970" s="94"/>
      <c r="J3970" s="91">
        <v>28879.65</v>
      </c>
      <c r="K3970" s="25">
        <f t="shared" si="780"/>
        <v>3345400.35</v>
      </c>
      <c r="L3970" s="95">
        <f t="shared" si="781"/>
        <v>12034932</v>
      </c>
      <c r="M3970" s="20"/>
      <c r="N3970" s="20"/>
      <c r="P3970" s="84">
        <v>9423741647</v>
      </c>
      <c r="Q3970" s="174">
        <v>44409</v>
      </c>
      <c r="R3970" s="14">
        <v>168800</v>
      </c>
      <c r="S3970" s="14">
        <v>216000</v>
      </c>
      <c r="W3970" s="31"/>
      <c r="X3970" s="131"/>
    </row>
    <row r="3971" spans="1:24" ht="15" hidden="1" x14ac:dyDescent="0.25">
      <c r="B3971" s="89">
        <v>44551.125</v>
      </c>
      <c r="C3971" s="92" t="s">
        <v>3705</v>
      </c>
      <c r="D3971" s="62"/>
      <c r="E3971" s="91">
        <v>3374280</v>
      </c>
      <c r="F3971" s="93"/>
      <c r="G3971" s="93">
        <f t="shared" si="779"/>
        <v>3374280</v>
      </c>
      <c r="H3971" s="94"/>
      <c r="I3971" s="94"/>
      <c r="J3971" s="91">
        <v>28879.65</v>
      </c>
      <c r="K3971" s="25">
        <f t="shared" si="780"/>
        <v>3345400.35</v>
      </c>
      <c r="L3971" s="95">
        <f t="shared" si="781"/>
        <v>8660652</v>
      </c>
      <c r="M3971" s="20"/>
      <c r="N3971" s="20"/>
      <c r="P3971" s="84">
        <v>9427711986</v>
      </c>
      <c r="Q3971" s="174">
        <v>44440</v>
      </c>
      <c r="R3971" s="14">
        <v>168800</v>
      </c>
      <c r="S3971" s="14">
        <v>216000</v>
      </c>
      <c r="W3971" s="31"/>
      <c r="X3971" s="131"/>
    </row>
    <row r="3972" spans="1:24" ht="15" hidden="1" x14ac:dyDescent="0.25">
      <c r="B3972" s="89">
        <v>44559.125</v>
      </c>
      <c r="C3972" s="92" t="s">
        <v>3706</v>
      </c>
      <c r="D3972" s="62"/>
      <c r="E3972" s="91">
        <v>3374280</v>
      </c>
      <c r="F3972" s="93"/>
      <c r="G3972" s="93">
        <f t="shared" si="779"/>
        <v>3374280</v>
      </c>
      <c r="H3972" s="94"/>
      <c r="I3972" s="94"/>
      <c r="J3972" s="91">
        <v>28879.65</v>
      </c>
      <c r="K3972" s="25">
        <f t="shared" si="780"/>
        <v>3345400.35</v>
      </c>
      <c r="L3972" s="95">
        <f t="shared" si="781"/>
        <v>5286372</v>
      </c>
      <c r="M3972" s="20"/>
      <c r="N3972" s="20"/>
      <c r="P3972" s="84">
        <v>9426184419</v>
      </c>
      <c r="Q3972" s="174">
        <v>44470</v>
      </c>
      <c r="R3972" s="14">
        <v>168800</v>
      </c>
      <c r="S3972" s="14">
        <v>216000</v>
      </c>
      <c r="W3972" s="31"/>
      <c r="X3972" s="131"/>
    </row>
    <row r="3973" spans="1:24" ht="15" hidden="1" x14ac:dyDescent="0.25">
      <c r="B3973" s="89">
        <v>44560.125</v>
      </c>
      <c r="C3973" s="92" t="s">
        <v>3707</v>
      </c>
      <c r="D3973" s="62"/>
      <c r="E3973" s="91">
        <v>3374280</v>
      </c>
      <c r="F3973" s="93"/>
      <c r="G3973" s="93">
        <f t="shared" si="779"/>
        <v>3374280</v>
      </c>
      <c r="H3973" s="94"/>
      <c r="I3973" s="94"/>
      <c r="J3973" s="91">
        <v>28879.65</v>
      </c>
      <c r="K3973" s="25">
        <f t="shared" si="780"/>
        <v>3345400.35</v>
      </c>
      <c r="L3973" s="95">
        <f t="shared" si="781"/>
        <v>1912092</v>
      </c>
      <c r="M3973" s="20"/>
      <c r="N3973" s="20"/>
      <c r="P3973" s="84">
        <v>9427413528</v>
      </c>
      <c r="Q3973" s="174">
        <v>44501</v>
      </c>
      <c r="R3973" s="14">
        <v>168800</v>
      </c>
      <c r="S3973" s="14">
        <v>216000</v>
      </c>
      <c r="W3973" s="31"/>
      <c r="X3973" s="131"/>
    </row>
    <row r="3974" spans="1:24" ht="15" hidden="1" x14ac:dyDescent="0.25">
      <c r="B3974" s="89"/>
      <c r="C3974" s="92"/>
      <c r="D3974" s="62"/>
      <c r="E3974" s="91"/>
      <c r="F3974" s="93"/>
      <c r="G3974" s="93"/>
      <c r="H3974" s="94"/>
      <c r="I3974" s="94"/>
      <c r="J3974" s="91"/>
      <c r="K3974" s="25"/>
      <c r="L3974" s="95"/>
      <c r="M3974" s="20"/>
      <c r="N3974" s="20"/>
      <c r="P3974" s="84"/>
      <c r="Q3974" s="174"/>
      <c r="R3974" s="125"/>
      <c r="S3974" s="125"/>
      <c r="W3974" s="31"/>
      <c r="X3974" s="131"/>
    </row>
    <row r="3975" spans="1:24" ht="15" hidden="1" x14ac:dyDescent="0.25">
      <c r="B3975" s="89"/>
      <c r="C3975" s="92"/>
      <c r="D3975" s="62"/>
      <c r="E3975" s="91"/>
      <c r="F3975" s="93"/>
      <c r="G3975" s="93"/>
      <c r="H3975" s="94"/>
      <c r="I3975" s="94"/>
      <c r="J3975" s="91"/>
      <c r="K3975" s="25"/>
      <c r="L3975" s="95"/>
      <c r="M3975" s="20"/>
      <c r="N3975" s="20"/>
      <c r="P3975" s="84"/>
      <c r="Q3975" s="174"/>
      <c r="R3975" s="125"/>
      <c r="S3975" s="125"/>
      <c r="W3975" s="31"/>
      <c r="X3975" s="131"/>
    </row>
    <row r="3976" spans="1:24" ht="15" hidden="1" x14ac:dyDescent="0.25">
      <c r="A3976" s="21">
        <v>4012021</v>
      </c>
      <c r="B3976" s="139" t="s">
        <v>3708</v>
      </c>
      <c r="C3976" s="140"/>
      <c r="D3976" s="141">
        <v>49096667</v>
      </c>
      <c r="E3976" s="141">
        <f>+D3976</f>
        <v>49096667</v>
      </c>
      <c r="F3976" s="141"/>
      <c r="G3976" s="141"/>
      <c r="H3976" s="141"/>
      <c r="I3976" s="141"/>
      <c r="J3976" s="141"/>
      <c r="K3976" s="141"/>
      <c r="L3976" s="141">
        <f>+D3976</f>
        <v>49096667</v>
      </c>
      <c r="M3976" s="142"/>
      <c r="N3976" s="142"/>
      <c r="O3976" s="149">
        <f>+VLOOKUP(A3976,'[1]ANEXO 7 - PPTO VIG 2021'!$H$8:$AB$160,21,)-L3985</f>
        <v>-3776667</v>
      </c>
    </row>
    <row r="3977" spans="1:24" ht="15" hidden="1" x14ac:dyDescent="0.25">
      <c r="B3977" s="89">
        <v>44322.083333333336</v>
      </c>
      <c r="C3977" s="92" t="s">
        <v>3709</v>
      </c>
      <c r="D3977" s="23"/>
      <c r="E3977" s="91">
        <v>4120000</v>
      </c>
      <c r="F3977" s="93"/>
      <c r="G3977" s="93">
        <f t="shared" ref="G3977:G3985" si="782">+E3977</f>
        <v>4120000</v>
      </c>
      <c r="H3977" s="94"/>
      <c r="I3977" s="91"/>
      <c r="J3977" s="91">
        <v>35262.089999999997</v>
      </c>
      <c r="K3977" s="25">
        <f t="shared" ref="K3977:K3985" si="783">+G3977-H3977-I3977-J3977</f>
        <v>4084737.91</v>
      </c>
      <c r="L3977" s="95">
        <f t="shared" ref="L3977:L3982" si="784">+L3976-G3977</f>
        <v>44976667</v>
      </c>
      <c r="M3977" s="20">
        <v>4120000</v>
      </c>
      <c r="N3977" s="20">
        <f>+G3977-M3977</f>
        <v>0</v>
      </c>
      <c r="O3977" s="130"/>
      <c r="P3977" s="55">
        <v>9418482311</v>
      </c>
      <c r="Q3977" s="127">
        <v>44287</v>
      </c>
      <c r="R3977" s="14">
        <v>214600</v>
      </c>
      <c r="S3977" s="14">
        <v>274700</v>
      </c>
      <c r="T3977" s="3">
        <f>+L3976-3776667</f>
        <v>45320000</v>
      </c>
      <c r="U3977" s="3">
        <f>+T3977*40%</f>
        <v>18128000</v>
      </c>
    </row>
    <row r="3978" spans="1:24" ht="15" hidden="1" x14ac:dyDescent="0.25">
      <c r="B3978" s="89">
        <v>44349.083333333336</v>
      </c>
      <c r="C3978" s="92" t="s">
        <v>3710</v>
      </c>
      <c r="D3978" s="23"/>
      <c r="E3978" s="91">
        <v>5150000</v>
      </c>
      <c r="F3978" s="93"/>
      <c r="G3978" s="93">
        <f t="shared" si="782"/>
        <v>5150000</v>
      </c>
      <c r="H3978" s="94"/>
      <c r="I3978" s="91"/>
      <c r="J3978" s="91">
        <v>44077.61</v>
      </c>
      <c r="K3978" s="25">
        <f t="shared" si="783"/>
        <v>5105922.3899999997</v>
      </c>
      <c r="L3978" s="95">
        <f t="shared" si="784"/>
        <v>39826667</v>
      </c>
      <c r="M3978" s="20"/>
      <c r="N3978" s="20"/>
      <c r="O3978" s="130"/>
      <c r="P3978" s="55">
        <v>9420216606</v>
      </c>
      <c r="Q3978" s="127">
        <v>44317</v>
      </c>
      <c r="R3978" s="14">
        <v>257500</v>
      </c>
      <c r="S3978" s="14">
        <v>329600</v>
      </c>
      <c r="U3978" s="3"/>
    </row>
    <row r="3979" spans="1:24" ht="15" hidden="1" x14ac:dyDescent="0.25">
      <c r="B3979" s="89">
        <v>44385.083333333336</v>
      </c>
      <c r="C3979" s="92" t="s">
        <v>3711</v>
      </c>
      <c r="D3979" s="23"/>
      <c r="E3979" s="91">
        <v>5150000</v>
      </c>
      <c r="F3979" s="93"/>
      <c r="G3979" s="93">
        <f t="shared" si="782"/>
        <v>5150000</v>
      </c>
      <c r="H3979" s="94"/>
      <c r="I3979" s="91"/>
      <c r="J3979" s="91">
        <v>44077.61</v>
      </c>
      <c r="K3979" s="25">
        <f t="shared" si="783"/>
        <v>5105922.3899999997</v>
      </c>
      <c r="L3979" s="95">
        <f t="shared" si="784"/>
        <v>34676667</v>
      </c>
      <c r="M3979" s="20"/>
      <c r="N3979" s="20"/>
      <c r="O3979" s="130"/>
      <c r="P3979" s="55">
        <v>9421785942</v>
      </c>
      <c r="Q3979" s="127">
        <v>44348</v>
      </c>
      <c r="R3979" s="14">
        <v>257500</v>
      </c>
      <c r="S3979" s="14">
        <v>329600</v>
      </c>
      <c r="U3979" s="3">
        <f>+U3977*12.5%</f>
        <v>2266000</v>
      </c>
      <c r="V3979" s="173" t="s">
        <v>2769</v>
      </c>
    </row>
    <row r="3980" spans="1:24" ht="15" hidden="1" x14ac:dyDescent="0.25">
      <c r="B3980" s="89">
        <v>44433.083333333336</v>
      </c>
      <c r="C3980" s="92" t="s">
        <v>3712</v>
      </c>
      <c r="D3980" s="23"/>
      <c r="E3980" s="91">
        <v>5150000</v>
      </c>
      <c r="F3980" s="93"/>
      <c r="G3980" s="93">
        <f t="shared" si="782"/>
        <v>5150000</v>
      </c>
      <c r="H3980" s="94"/>
      <c r="I3980" s="91"/>
      <c r="J3980" s="91">
        <v>44077.61</v>
      </c>
      <c r="K3980" s="25">
        <f t="shared" si="783"/>
        <v>5105922.3899999997</v>
      </c>
      <c r="L3980" s="95">
        <f t="shared" si="784"/>
        <v>29526667</v>
      </c>
      <c r="M3980" s="20"/>
      <c r="N3980" s="20"/>
      <c r="O3980" s="130"/>
      <c r="P3980" s="55">
        <v>9422795352</v>
      </c>
      <c r="Q3980" s="127">
        <v>44378</v>
      </c>
      <c r="R3980" s="14">
        <v>257500</v>
      </c>
      <c r="S3980" s="14">
        <v>329600</v>
      </c>
      <c r="U3980" s="3">
        <f>+U3977*16%</f>
        <v>2900480</v>
      </c>
      <c r="V3980" s="172" t="s">
        <v>2771</v>
      </c>
      <c r="W3980" s="31">
        <v>5150000</v>
      </c>
      <c r="X3980" s="131">
        <f>+E3980-W3980</f>
        <v>0</v>
      </c>
    </row>
    <row r="3981" spans="1:24" ht="15" hidden="1" x14ac:dyDescent="0.25">
      <c r="B3981" s="89">
        <v>44445.083333333336</v>
      </c>
      <c r="C3981" s="92" t="s">
        <v>3713</v>
      </c>
      <c r="D3981" s="23"/>
      <c r="E3981" s="91">
        <v>5150000</v>
      </c>
      <c r="F3981" s="93"/>
      <c r="G3981" s="93">
        <f t="shared" si="782"/>
        <v>5150000</v>
      </c>
      <c r="H3981" s="94"/>
      <c r="I3981" s="91"/>
      <c r="J3981" s="91">
        <v>44077.61</v>
      </c>
      <c r="K3981" s="25">
        <f t="shared" si="783"/>
        <v>5105922.3899999997</v>
      </c>
      <c r="L3981" s="95">
        <f t="shared" si="784"/>
        <v>24376667</v>
      </c>
      <c r="M3981" s="20"/>
      <c r="N3981" s="20"/>
      <c r="O3981" s="130"/>
      <c r="P3981" s="84">
        <v>9423893031</v>
      </c>
      <c r="Q3981" s="127">
        <v>44409</v>
      </c>
      <c r="R3981" s="14">
        <v>257500</v>
      </c>
      <c r="S3981" s="14">
        <v>329600</v>
      </c>
      <c r="W3981" s="31"/>
      <c r="X3981" s="131"/>
    </row>
    <row r="3982" spans="1:24" ht="15" hidden="1" x14ac:dyDescent="0.25">
      <c r="B3982" s="89">
        <v>44477.083333333336</v>
      </c>
      <c r="C3982" s="92" t="s">
        <v>3714</v>
      </c>
      <c r="D3982" s="23"/>
      <c r="E3982" s="91">
        <v>5150000</v>
      </c>
      <c r="F3982" s="93"/>
      <c r="G3982" s="93">
        <f t="shared" si="782"/>
        <v>5150000</v>
      </c>
      <c r="H3982" s="94"/>
      <c r="I3982" s="91"/>
      <c r="J3982" s="91">
        <v>44077.61</v>
      </c>
      <c r="K3982" s="25">
        <f t="shared" si="783"/>
        <v>5105922.3899999997</v>
      </c>
      <c r="L3982" s="95">
        <f t="shared" si="784"/>
        <v>19226667</v>
      </c>
      <c r="M3982" s="20"/>
      <c r="N3982" s="20"/>
      <c r="O3982" s="130"/>
      <c r="P3982" s="84">
        <v>9424457508</v>
      </c>
      <c r="Q3982" s="127">
        <v>44440</v>
      </c>
      <c r="R3982" s="14">
        <v>257500</v>
      </c>
      <c r="S3982" s="14">
        <v>329600</v>
      </c>
      <c r="W3982" s="31"/>
      <c r="X3982" s="131"/>
    </row>
    <row r="3983" spans="1:24" ht="15" hidden="1" x14ac:dyDescent="0.25">
      <c r="B3983" s="89">
        <v>44508.125</v>
      </c>
      <c r="C3983" s="92" t="s">
        <v>3715</v>
      </c>
      <c r="D3983" s="23"/>
      <c r="E3983" s="91">
        <v>5150000</v>
      </c>
      <c r="F3983" s="93"/>
      <c r="G3983" s="93">
        <f t="shared" si="782"/>
        <v>5150000</v>
      </c>
      <c r="H3983" s="94"/>
      <c r="I3983" s="91"/>
      <c r="J3983" s="91">
        <v>44077.61</v>
      </c>
      <c r="K3983" s="25">
        <f t="shared" si="783"/>
        <v>5105922.3899999997</v>
      </c>
      <c r="L3983" s="95">
        <f>+L3982-G3983</f>
        <v>14076667</v>
      </c>
      <c r="M3983" s="20"/>
      <c r="N3983" s="20"/>
      <c r="O3983" s="130"/>
      <c r="P3983" s="84">
        <v>9426317160</v>
      </c>
      <c r="Q3983" s="127">
        <v>44470</v>
      </c>
      <c r="R3983" s="14">
        <v>257500</v>
      </c>
      <c r="S3983" s="14">
        <v>329600</v>
      </c>
      <c r="W3983" s="31"/>
      <c r="X3983" s="131"/>
    </row>
    <row r="3984" spans="1:24" ht="15" hidden="1" x14ac:dyDescent="0.25">
      <c r="B3984" s="89">
        <v>44544.125</v>
      </c>
      <c r="C3984" s="92" t="s">
        <v>3716</v>
      </c>
      <c r="D3984" s="23"/>
      <c r="E3984" s="91">
        <v>5150000</v>
      </c>
      <c r="F3984" s="93"/>
      <c r="G3984" s="93">
        <f t="shared" si="782"/>
        <v>5150000</v>
      </c>
      <c r="H3984" s="94"/>
      <c r="I3984" s="91"/>
      <c r="J3984" s="91">
        <v>44077.61</v>
      </c>
      <c r="K3984" s="25">
        <f t="shared" si="783"/>
        <v>5105922.3899999997</v>
      </c>
      <c r="L3984" s="95">
        <f>+L3983-G3984</f>
        <v>8926667</v>
      </c>
      <c r="M3984" s="20"/>
      <c r="N3984" s="20"/>
      <c r="O3984" s="130"/>
      <c r="P3984" s="84">
        <v>9427329099</v>
      </c>
      <c r="Q3984" s="127">
        <v>44501</v>
      </c>
      <c r="R3984" s="14">
        <v>257500</v>
      </c>
      <c r="S3984" s="14">
        <v>329600</v>
      </c>
      <c r="W3984" s="31"/>
      <c r="X3984" s="131"/>
    </row>
    <row r="3985" spans="1:24" ht="15" hidden="1" x14ac:dyDescent="0.25">
      <c r="B3985" s="89">
        <v>44557.125</v>
      </c>
      <c r="C3985" s="92" t="s">
        <v>3717</v>
      </c>
      <c r="D3985" s="23"/>
      <c r="E3985" s="91">
        <v>5150000</v>
      </c>
      <c r="F3985" s="93"/>
      <c r="G3985" s="93">
        <f t="shared" si="782"/>
        <v>5150000</v>
      </c>
      <c r="H3985" s="94"/>
      <c r="I3985" s="91"/>
      <c r="J3985" s="91">
        <v>44077.61</v>
      </c>
      <c r="K3985" s="25">
        <f t="shared" si="783"/>
        <v>5105922.3899999997</v>
      </c>
      <c r="L3985" s="95">
        <f>+L3984-G3985</f>
        <v>3776667</v>
      </c>
      <c r="M3985" s="20"/>
      <c r="N3985" s="20"/>
      <c r="O3985" s="130"/>
      <c r="P3985" s="84">
        <v>9427329324</v>
      </c>
      <c r="Q3985" s="127">
        <v>44531</v>
      </c>
      <c r="R3985" s="14">
        <v>257500</v>
      </c>
      <c r="S3985" s="14">
        <v>329600</v>
      </c>
      <c r="W3985" s="31"/>
      <c r="X3985" s="131"/>
    </row>
    <row r="3986" spans="1:24" ht="15" hidden="1" x14ac:dyDescent="0.25">
      <c r="B3986" s="89"/>
      <c r="C3986" s="92"/>
      <c r="D3986" s="23"/>
      <c r="E3986" s="91"/>
      <c r="F3986" s="93"/>
      <c r="G3986" s="93"/>
      <c r="H3986" s="94"/>
      <c r="I3986" s="91"/>
      <c r="J3986" s="91"/>
      <c r="K3986" s="25"/>
      <c r="L3986" s="95"/>
      <c r="M3986" s="20"/>
      <c r="N3986" s="20"/>
      <c r="O3986" s="130"/>
      <c r="P3986" s="84"/>
      <c r="Q3986" s="174"/>
      <c r="R3986" s="178">
        <f>SUM(R3977:R3985)</f>
        <v>2274600</v>
      </c>
      <c r="S3986" s="177">
        <f>SUM(S3977:S3985)</f>
        <v>2911500</v>
      </c>
      <c r="W3986" s="31"/>
      <c r="X3986" s="131"/>
    </row>
    <row r="3987" spans="1:24" ht="15" hidden="1" x14ac:dyDescent="0.25">
      <c r="A3987" s="21">
        <v>3952021</v>
      </c>
      <c r="B3987" s="139" t="s">
        <v>3718</v>
      </c>
      <c r="C3987" s="140"/>
      <c r="D3987" s="141">
        <v>59130240</v>
      </c>
      <c r="E3987" s="141">
        <f>+D3987</f>
        <v>59130240</v>
      </c>
      <c r="F3987" s="141"/>
      <c r="G3987" s="141"/>
      <c r="H3987" s="141"/>
      <c r="I3987" s="141"/>
      <c r="J3987" s="141"/>
      <c r="K3987" s="141"/>
      <c r="L3987" s="141">
        <f>+D3987</f>
        <v>59130240</v>
      </c>
      <c r="M3987" s="142"/>
      <c r="N3987" s="142"/>
      <c r="O3987" s="149">
        <f>+VLOOKUP(A3987,'[1]ANEXO 7 - PPTO VIG 2021'!$H$8:$AB$160,21,)-L3997</f>
        <v>-642720</v>
      </c>
    </row>
    <row r="3988" spans="1:24" ht="15" hidden="1" x14ac:dyDescent="0.25">
      <c r="B3988" s="89">
        <v>44327.083333333336</v>
      </c>
      <c r="C3988" s="92" t="s">
        <v>3719</v>
      </c>
      <c r="D3988" s="23"/>
      <c r="E3988" s="91">
        <v>642720</v>
      </c>
      <c r="F3988" s="93"/>
      <c r="G3988" s="93">
        <f t="shared" ref="G3988:G4008" si="785">+E3988</f>
        <v>642720</v>
      </c>
      <c r="H3988" s="94"/>
      <c r="I3988" s="91">
        <v>0</v>
      </c>
      <c r="J3988" s="91">
        <v>5500.89</v>
      </c>
      <c r="K3988" s="25">
        <f t="shared" ref="K3988:K3997" si="786">+G3988-H3988-I3988-J3988</f>
        <v>637219.11</v>
      </c>
      <c r="L3988" s="95">
        <f t="shared" ref="L3988:L3993" si="787">+L3987-G3988</f>
        <v>58487520</v>
      </c>
      <c r="M3988" s="20">
        <v>642720</v>
      </c>
      <c r="N3988" s="20">
        <f>+G3988-M3988</f>
        <v>0</v>
      </c>
      <c r="O3988" s="130"/>
      <c r="P3988" s="55">
        <v>9419244595</v>
      </c>
      <c r="Q3988" s="127">
        <v>44256</v>
      </c>
      <c r="R3988" s="14">
        <v>113600</v>
      </c>
      <c r="S3988" s="14">
        <v>145400</v>
      </c>
      <c r="T3988" s="3">
        <f>+L3987-642720</f>
        <v>58487520</v>
      </c>
      <c r="U3988" s="3">
        <f>+T3988*40%</f>
        <v>23395008</v>
      </c>
    </row>
    <row r="3989" spans="1:24" ht="15" hidden="1" x14ac:dyDescent="0.25">
      <c r="B3989" s="89">
        <v>44328.083333333336</v>
      </c>
      <c r="C3989" s="92" t="s">
        <v>3720</v>
      </c>
      <c r="D3989" s="23"/>
      <c r="E3989" s="91">
        <v>6427200</v>
      </c>
      <c r="F3989" s="93"/>
      <c r="G3989" s="93">
        <f t="shared" si="785"/>
        <v>6427200</v>
      </c>
      <c r="H3989" s="94"/>
      <c r="I3989" s="91">
        <v>62595.39</v>
      </c>
      <c r="J3989" s="91">
        <v>55008.86</v>
      </c>
      <c r="K3989" s="25">
        <f t="shared" si="786"/>
        <v>6309595.75</v>
      </c>
      <c r="L3989" s="95">
        <f t="shared" si="787"/>
        <v>52060320</v>
      </c>
      <c r="M3989" s="20">
        <v>6427200</v>
      </c>
      <c r="N3989" s="20">
        <f>+G3989-M3989</f>
        <v>0</v>
      </c>
      <c r="O3989" s="130"/>
      <c r="P3989" s="55">
        <v>9419244613</v>
      </c>
      <c r="Q3989" s="127">
        <v>44287</v>
      </c>
      <c r="R3989" s="14">
        <v>321400</v>
      </c>
      <c r="S3989" s="14">
        <v>411400</v>
      </c>
      <c r="U3989" s="3"/>
    </row>
    <row r="3990" spans="1:24" ht="15" hidden="1" x14ac:dyDescent="0.25">
      <c r="B3990" s="89">
        <v>44356.083333333336</v>
      </c>
      <c r="C3990" s="92" t="s">
        <v>3721</v>
      </c>
      <c r="D3990" s="23"/>
      <c r="E3990" s="91">
        <v>6427200</v>
      </c>
      <c r="F3990" s="93"/>
      <c r="G3990" s="201">
        <f t="shared" si="785"/>
        <v>6427200</v>
      </c>
      <c r="H3990" s="202"/>
      <c r="I3990" s="203">
        <v>62096.63</v>
      </c>
      <c r="J3990" s="203">
        <v>55008.86</v>
      </c>
      <c r="K3990" s="204">
        <f t="shared" si="786"/>
        <v>6310094.5099999998</v>
      </c>
      <c r="L3990" s="205">
        <f t="shared" si="787"/>
        <v>45633120</v>
      </c>
      <c r="M3990" s="20"/>
      <c r="N3990" s="20"/>
      <c r="O3990" s="130"/>
      <c r="P3990" s="55">
        <v>993355935</v>
      </c>
      <c r="Q3990" s="127">
        <v>44317</v>
      </c>
      <c r="R3990" s="14">
        <v>406500</v>
      </c>
      <c r="S3990" s="14">
        <v>520300</v>
      </c>
      <c r="U3990" s="3">
        <f>+U3988*12.5%</f>
        <v>2924376</v>
      </c>
      <c r="V3990" s="173" t="s">
        <v>2769</v>
      </c>
    </row>
    <row r="3991" spans="1:24" ht="15" hidden="1" x14ac:dyDescent="0.25">
      <c r="B3991" s="89">
        <v>44392.083333333336</v>
      </c>
      <c r="C3991" s="92" t="s">
        <v>3722</v>
      </c>
      <c r="D3991" s="23"/>
      <c r="E3991" s="91">
        <v>6427200</v>
      </c>
      <c r="F3991" s="93"/>
      <c r="G3991" s="201">
        <f t="shared" si="785"/>
        <v>6427200</v>
      </c>
      <c r="H3991" s="202"/>
      <c r="I3991" s="203">
        <v>62096.63</v>
      </c>
      <c r="J3991" s="203">
        <v>55008.86</v>
      </c>
      <c r="K3991" s="204">
        <f t="shared" si="786"/>
        <v>6310094.5099999998</v>
      </c>
      <c r="L3991" s="205">
        <f t="shared" si="787"/>
        <v>39205920</v>
      </c>
      <c r="M3991" s="20"/>
      <c r="N3991" s="20"/>
      <c r="O3991" s="130"/>
      <c r="P3991" s="55">
        <v>9420361368</v>
      </c>
      <c r="Q3991" s="127">
        <v>44348</v>
      </c>
      <c r="R3991" s="14">
        <v>406500</v>
      </c>
      <c r="S3991" s="14">
        <v>520300</v>
      </c>
      <c r="U3991" s="3">
        <f>+U3988*16%</f>
        <v>3743201.2800000003</v>
      </c>
      <c r="V3991" s="172" t="s">
        <v>2771</v>
      </c>
    </row>
    <row r="3992" spans="1:24" ht="15" hidden="1" x14ac:dyDescent="0.25">
      <c r="B3992" s="89">
        <v>44426.083333333336</v>
      </c>
      <c r="C3992" s="92" t="s">
        <v>3723</v>
      </c>
      <c r="D3992" s="23"/>
      <c r="E3992" s="91">
        <v>6427200</v>
      </c>
      <c r="F3992" s="93"/>
      <c r="G3992" s="201">
        <f t="shared" si="785"/>
        <v>6427200</v>
      </c>
      <c r="H3992" s="202"/>
      <c r="I3992" s="203">
        <v>62096.63</v>
      </c>
      <c r="J3992" s="203">
        <v>55008.86</v>
      </c>
      <c r="K3992" s="204">
        <f t="shared" si="786"/>
        <v>6310094.5099999998</v>
      </c>
      <c r="L3992" s="205">
        <f t="shared" si="787"/>
        <v>32778720</v>
      </c>
      <c r="M3992" s="20"/>
      <c r="N3992" s="20"/>
      <c r="O3992" s="130"/>
      <c r="P3992" s="84">
        <v>9422699729</v>
      </c>
      <c r="Q3992" s="127">
        <v>44378</v>
      </c>
      <c r="R3992" s="14">
        <v>406500</v>
      </c>
      <c r="S3992" s="14">
        <v>520300</v>
      </c>
      <c r="W3992" s="31">
        <v>6427200</v>
      </c>
      <c r="X3992" s="131">
        <f>+E3992-W3992</f>
        <v>0</v>
      </c>
    </row>
    <row r="3993" spans="1:24" ht="15" hidden="1" x14ac:dyDescent="0.25">
      <c r="B3993" s="89">
        <v>44461.083333333336</v>
      </c>
      <c r="C3993" s="92" t="s">
        <v>3724</v>
      </c>
      <c r="D3993" s="23"/>
      <c r="E3993" s="91">
        <v>6427200</v>
      </c>
      <c r="F3993" s="93"/>
      <c r="G3993" s="201">
        <f t="shared" si="785"/>
        <v>6427200</v>
      </c>
      <c r="H3993" s="202"/>
      <c r="I3993" s="203">
        <v>62096.63</v>
      </c>
      <c r="J3993" s="203">
        <v>55008.86</v>
      </c>
      <c r="K3993" s="204">
        <f t="shared" si="786"/>
        <v>6310094.5099999998</v>
      </c>
      <c r="L3993" s="205">
        <f t="shared" si="787"/>
        <v>26351520</v>
      </c>
      <c r="M3993" s="20"/>
      <c r="N3993" s="20"/>
      <c r="O3993" s="130"/>
      <c r="P3993" s="84">
        <v>9423961764</v>
      </c>
      <c r="Q3993" s="127">
        <v>44409</v>
      </c>
      <c r="R3993" s="14">
        <v>406500</v>
      </c>
      <c r="S3993" s="14">
        <v>520300</v>
      </c>
      <c r="W3993" s="31"/>
      <c r="X3993" s="131"/>
    </row>
    <row r="3994" spans="1:24" ht="15" hidden="1" x14ac:dyDescent="0.25">
      <c r="B3994" s="89">
        <v>44516.125</v>
      </c>
      <c r="C3994" s="92" t="s">
        <v>3725</v>
      </c>
      <c r="D3994" s="23"/>
      <c r="E3994" s="91">
        <v>6427200</v>
      </c>
      <c r="F3994" s="93"/>
      <c r="G3994" s="201">
        <f t="shared" si="785"/>
        <v>6427200</v>
      </c>
      <c r="H3994" s="202"/>
      <c r="I3994" s="203">
        <v>62096.63</v>
      </c>
      <c r="J3994" s="203">
        <v>55008.86</v>
      </c>
      <c r="K3994" s="204">
        <f t="shared" si="786"/>
        <v>6310094.5099999998</v>
      </c>
      <c r="L3994" s="205">
        <f>+L3993-G3994</f>
        <v>19924320</v>
      </c>
      <c r="M3994" s="20"/>
      <c r="N3994" s="20"/>
      <c r="O3994" s="130"/>
      <c r="P3994" s="84">
        <v>9425267352</v>
      </c>
      <c r="Q3994" s="127">
        <v>44440</v>
      </c>
      <c r="R3994" s="14">
        <v>406500</v>
      </c>
      <c r="S3994" s="14">
        <v>520300</v>
      </c>
      <c r="W3994" s="31"/>
      <c r="X3994" s="131"/>
    </row>
    <row r="3995" spans="1:24" ht="15" hidden="1" x14ac:dyDescent="0.25">
      <c r="B3995" s="89">
        <v>44545.125</v>
      </c>
      <c r="C3995" s="92" t="s">
        <v>3726</v>
      </c>
      <c r="D3995" s="23"/>
      <c r="E3995" s="91">
        <v>6427200</v>
      </c>
      <c r="F3995" s="93"/>
      <c r="G3995" s="201">
        <f t="shared" si="785"/>
        <v>6427200</v>
      </c>
      <c r="H3995" s="202"/>
      <c r="I3995" s="203">
        <v>62096.63</v>
      </c>
      <c r="J3995" s="203">
        <v>55008.86</v>
      </c>
      <c r="K3995" s="204">
        <f t="shared" si="786"/>
        <v>6310094.5099999998</v>
      </c>
      <c r="L3995" s="205">
        <f>+L3994-G3995</f>
        <v>13497120</v>
      </c>
      <c r="M3995" s="20"/>
      <c r="N3995" s="20"/>
      <c r="O3995" s="130"/>
      <c r="P3995" s="84">
        <v>9426696486</v>
      </c>
      <c r="Q3995" s="127">
        <v>44470</v>
      </c>
      <c r="R3995" s="14">
        <v>406500</v>
      </c>
      <c r="S3995" s="14">
        <v>520300</v>
      </c>
      <c r="W3995" s="31"/>
      <c r="X3995" s="131"/>
    </row>
    <row r="3996" spans="1:24" ht="15" hidden="1" x14ac:dyDescent="0.25">
      <c r="B3996" s="89">
        <v>44545.125</v>
      </c>
      <c r="C3996" s="92" t="s">
        <v>3727</v>
      </c>
      <c r="D3996" s="23"/>
      <c r="E3996" s="91">
        <v>6427200</v>
      </c>
      <c r="F3996" s="93"/>
      <c r="G3996" s="201">
        <f t="shared" si="785"/>
        <v>6427200</v>
      </c>
      <c r="H3996" s="202"/>
      <c r="I3996" s="203">
        <v>62096.63</v>
      </c>
      <c r="J3996" s="203">
        <v>55008.86</v>
      </c>
      <c r="K3996" s="204">
        <f t="shared" si="786"/>
        <v>6310094.5099999998</v>
      </c>
      <c r="L3996" s="205">
        <f>+L3995-G3996</f>
        <v>7069920</v>
      </c>
      <c r="M3996" s="20"/>
      <c r="N3996" s="20"/>
      <c r="O3996" s="130"/>
      <c r="P3996" s="84">
        <v>9427966696</v>
      </c>
      <c r="Q3996" s="127">
        <v>44501</v>
      </c>
      <c r="R3996" s="14">
        <v>406500</v>
      </c>
      <c r="S3996" s="14">
        <v>520300</v>
      </c>
      <c r="W3996" s="31"/>
      <c r="X3996" s="131"/>
    </row>
    <row r="3997" spans="1:24" ht="15" hidden="1" x14ac:dyDescent="0.25">
      <c r="B3997" s="89">
        <v>44559.125</v>
      </c>
      <c r="C3997" s="92" t="s">
        <v>3728</v>
      </c>
      <c r="D3997" s="23"/>
      <c r="E3997" s="91">
        <v>6427200</v>
      </c>
      <c r="F3997" s="93"/>
      <c r="G3997" s="201">
        <f t="shared" si="785"/>
        <v>6427200</v>
      </c>
      <c r="H3997" s="202"/>
      <c r="I3997" s="203">
        <v>62096.63</v>
      </c>
      <c r="J3997" s="203">
        <v>55008.86</v>
      </c>
      <c r="K3997" s="204">
        <f t="shared" si="786"/>
        <v>6310094.5099999998</v>
      </c>
      <c r="L3997" s="205">
        <f>+L3996-G3997</f>
        <v>642720</v>
      </c>
      <c r="M3997" s="20"/>
      <c r="N3997" s="20"/>
      <c r="O3997" s="130"/>
      <c r="P3997" s="84">
        <v>9428186564</v>
      </c>
      <c r="Q3997" s="127">
        <v>44531</v>
      </c>
      <c r="R3997" s="14">
        <v>406500</v>
      </c>
      <c r="S3997" s="14">
        <v>520300</v>
      </c>
      <c r="W3997" s="31"/>
      <c r="X3997" s="131"/>
    </row>
    <row r="3998" spans="1:24" ht="15" hidden="1" x14ac:dyDescent="0.25">
      <c r="B3998" s="89"/>
      <c r="C3998" s="92"/>
      <c r="D3998" s="23"/>
      <c r="E3998" s="91"/>
      <c r="F3998" s="93"/>
      <c r="G3998" s="201"/>
      <c r="H3998" s="202"/>
      <c r="I3998" s="203"/>
      <c r="J3998" s="203"/>
      <c r="K3998" s="204"/>
      <c r="L3998" s="205"/>
      <c r="M3998" s="20"/>
      <c r="N3998" s="20"/>
      <c r="O3998" s="130"/>
      <c r="P3998" s="84"/>
      <c r="Q3998" s="174"/>
      <c r="R3998" s="178">
        <f>SUM(R3988:R3997)</f>
        <v>3687000</v>
      </c>
      <c r="S3998" s="177">
        <f>SUM(S3988:S3997)</f>
        <v>4719200</v>
      </c>
      <c r="W3998" s="31"/>
      <c r="X3998" s="131"/>
    </row>
    <row r="3999" spans="1:24" ht="15" hidden="1" x14ac:dyDescent="0.25">
      <c r="A3999" s="21">
        <v>3902021</v>
      </c>
      <c r="B3999" s="139" t="s">
        <v>3729</v>
      </c>
      <c r="C3999" s="140"/>
      <c r="D3999" s="141">
        <v>62558080</v>
      </c>
      <c r="E3999" s="141">
        <f>+D3999</f>
        <v>62558080</v>
      </c>
      <c r="F3999" s="141"/>
      <c r="G3999" s="141"/>
      <c r="H3999" s="141"/>
      <c r="I3999" s="141"/>
      <c r="J3999" s="141"/>
      <c r="K3999" s="141"/>
      <c r="L3999" s="141">
        <f>+D3999</f>
        <v>62558080</v>
      </c>
      <c r="M3999" s="141"/>
      <c r="N3999" s="141"/>
      <c r="O3999" s="149">
        <f>+VLOOKUP(A3999,'[1]ANEXO 7 - PPTO VIG 2021'!$H$8:$AB$160,21,)-L4008</f>
        <v>-5570240</v>
      </c>
    </row>
    <row r="4000" spans="1:24" ht="15" hidden="1" x14ac:dyDescent="0.25">
      <c r="B4000" s="89">
        <v>44335.083333333336</v>
      </c>
      <c r="C4000" s="62" t="s">
        <v>3730</v>
      </c>
      <c r="D4000" s="62"/>
      <c r="E4000" s="61">
        <v>5570240</v>
      </c>
      <c r="F4000" s="61"/>
      <c r="G4000" s="93">
        <f t="shared" si="785"/>
        <v>5570240</v>
      </c>
      <c r="H4000" s="61"/>
      <c r="I4000" s="61"/>
      <c r="J4000" s="61">
        <v>47674.35</v>
      </c>
      <c r="K4000" s="25">
        <f t="shared" ref="K4000:K4008" si="788">+G4000-H4000-I4000-J4000</f>
        <v>5522565.6500000004</v>
      </c>
      <c r="L4000" s="95">
        <f t="shared" ref="L4000:L4005" si="789">+L3999-G4000</f>
        <v>56987840</v>
      </c>
      <c r="M4000" s="95"/>
      <c r="N4000" s="95"/>
      <c r="P4000" s="55">
        <v>20379083</v>
      </c>
      <c r="Q4000" s="127">
        <v>44287</v>
      </c>
      <c r="R4000" s="14">
        <v>293700</v>
      </c>
      <c r="S4000" s="14">
        <v>375900</v>
      </c>
      <c r="T4000" s="3">
        <f>+L3999-5570240</f>
        <v>56987840</v>
      </c>
      <c r="U4000" s="3">
        <f>+T4000*40%</f>
        <v>22795136</v>
      </c>
    </row>
    <row r="4001" spans="1:24" ht="15" hidden="1" x14ac:dyDescent="0.25">
      <c r="B4001" s="89">
        <v>44370.083333333336</v>
      </c>
      <c r="C4001" s="62" t="s">
        <v>3731</v>
      </c>
      <c r="D4001" s="62"/>
      <c r="E4001" s="61">
        <v>6427200</v>
      </c>
      <c r="F4001" s="61"/>
      <c r="G4001" s="93">
        <f t="shared" si="785"/>
        <v>6427200</v>
      </c>
      <c r="H4001" s="61"/>
      <c r="I4001" s="61">
        <v>62595.39</v>
      </c>
      <c r="J4001" s="61">
        <v>55008.86</v>
      </c>
      <c r="K4001" s="25">
        <f t="shared" si="788"/>
        <v>6309595.75</v>
      </c>
      <c r="L4001" s="95">
        <f t="shared" si="789"/>
        <v>50560640</v>
      </c>
      <c r="M4001" s="95"/>
      <c r="N4001" s="95"/>
      <c r="P4001" s="55">
        <v>20410362</v>
      </c>
      <c r="Q4001" s="127">
        <v>44317</v>
      </c>
      <c r="R4001" s="14">
        <v>321400</v>
      </c>
      <c r="S4001" s="14">
        <v>411400</v>
      </c>
      <c r="U4001" s="3"/>
    </row>
    <row r="4002" spans="1:24" ht="15" hidden="1" x14ac:dyDescent="0.25">
      <c r="B4002" s="89">
        <v>44390.083333333336</v>
      </c>
      <c r="C4002" s="62" t="s">
        <v>3732</v>
      </c>
      <c r="D4002" s="62"/>
      <c r="E4002" s="61">
        <v>6427200</v>
      </c>
      <c r="F4002" s="61"/>
      <c r="G4002" s="93">
        <f t="shared" si="785"/>
        <v>6427200</v>
      </c>
      <c r="H4002" s="206"/>
      <c r="I4002" s="206">
        <v>62595.39</v>
      </c>
      <c r="J4002" s="206">
        <v>55008.86</v>
      </c>
      <c r="K4002" s="25">
        <f t="shared" si="788"/>
        <v>6309595.75</v>
      </c>
      <c r="L4002" s="95">
        <f t="shared" si="789"/>
        <v>44133440</v>
      </c>
      <c r="M4002" s="96"/>
      <c r="N4002" s="96"/>
      <c r="P4002" s="55">
        <v>20581453</v>
      </c>
      <c r="Q4002" s="127">
        <v>44348</v>
      </c>
      <c r="R4002" s="14">
        <v>321400</v>
      </c>
      <c r="S4002" s="14">
        <v>411400</v>
      </c>
      <c r="U4002" s="3">
        <f>+U4000*12.5%</f>
        <v>2849392</v>
      </c>
      <c r="V4002" s="173" t="s">
        <v>2769</v>
      </c>
    </row>
    <row r="4003" spans="1:24" ht="15" hidden="1" x14ac:dyDescent="0.25">
      <c r="B4003" s="89">
        <v>44420.083333333336</v>
      </c>
      <c r="C4003" s="62" t="s">
        <v>3733</v>
      </c>
      <c r="D4003" s="62"/>
      <c r="E4003" s="56">
        <v>6427200</v>
      </c>
      <c r="F4003" s="61"/>
      <c r="G4003" s="93">
        <f t="shared" si="785"/>
        <v>6427200</v>
      </c>
      <c r="H4003" s="206"/>
      <c r="I4003" s="206">
        <v>62595.39</v>
      </c>
      <c r="J4003" s="206">
        <v>55008.86</v>
      </c>
      <c r="K4003" s="25">
        <f t="shared" si="788"/>
        <v>6309595.75</v>
      </c>
      <c r="L4003" s="95">
        <f t="shared" si="789"/>
        <v>37706240</v>
      </c>
      <c r="M4003" s="96"/>
      <c r="N4003" s="96"/>
      <c r="P4003" s="84">
        <v>20815337</v>
      </c>
      <c r="Q4003" s="174">
        <v>44378</v>
      </c>
      <c r="R4003" s="125">
        <v>321400</v>
      </c>
      <c r="S4003" s="125">
        <v>411400</v>
      </c>
      <c r="U4003" s="3">
        <f>+U4000*16%</f>
        <v>3647221.7600000002</v>
      </c>
      <c r="V4003" s="172" t="s">
        <v>2771</v>
      </c>
      <c r="W4003" s="31">
        <v>6427200</v>
      </c>
      <c r="X4003" s="131">
        <f>+E4003-W4003</f>
        <v>0</v>
      </c>
    </row>
    <row r="4004" spans="1:24" ht="15" hidden="1" x14ac:dyDescent="0.25">
      <c r="B4004" s="89">
        <v>44446.083333333336</v>
      </c>
      <c r="C4004" s="62" t="s">
        <v>3734</v>
      </c>
      <c r="D4004" s="62"/>
      <c r="E4004" s="56">
        <v>6427200</v>
      </c>
      <c r="F4004" s="61"/>
      <c r="G4004" s="93">
        <f t="shared" si="785"/>
        <v>6427200</v>
      </c>
      <c r="H4004" s="206"/>
      <c r="I4004" s="206">
        <v>62595.39</v>
      </c>
      <c r="J4004" s="206">
        <v>55008.86</v>
      </c>
      <c r="K4004" s="25">
        <f t="shared" si="788"/>
        <v>6309595.75</v>
      </c>
      <c r="L4004" s="95">
        <f t="shared" si="789"/>
        <v>31279040</v>
      </c>
      <c r="M4004" s="96"/>
      <c r="N4004" s="96"/>
      <c r="P4004" s="84">
        <v>21014434</v>
      </c>
      <c r="Q4004" s="174">
        <v>44409</v>
      </c>
      <c r="R4004" s="125">
        <v>321400</v>
      </c>
      <c r="S4004" s="125">
        <v>411400</v>
      </c>
      <c r="W4004" s="31"/>
      <c r="X4004" s="131"/>
    </row>
    <row r="4005" spans="1:24" ht="15" hidden="1" x14ac:dyDescent="0.25">
      <c r="B4005" s="89">
        <v>44481.083333333336</v>
      </c>
      <c r="C4005" s="62" t="s">
        <v>3735</v>
      </c>
      <c r="D4005" s="62"/>
      <c r="E4005" s="56">
        <v>6427200</v>
      </c>
      <c r="F4005" s="61"/>
      <c r="G4005" s="93">
        <f t="shared" si="785"/>
        <v>6427200</v>
      </c>
      <c r="H4005" s="206"/>
      <c r="I4005" s="206">
        <v>62595.39</v>
      </c>
      <c r="J4005" s="206">
        <v>55008.86</v>
      </c>
      <c r="K4005" s="25">
        <f t="shared" si="788"/>
        <v>6309595.75</v>
      </c>
      <c r="L4005" s="95">
        <f t="shared" si="789"/>
        <v>24851840</v>
      </c>
      <c r="M4005" s="96"/>
      <c r="N4005" s="96"/>
      <c r="P4005" s="84">
        <v>21253200</v>
      </c>
      <c r="Q4005" s="174">
        <v>44440</v>
      </c>
      <c r="R4005" s="125">
        <v>321400</v>
      </c>
      <c r="S4005" s="125">
        <v>411400</v>
      </c>
      <c r="W4005" s="31"/>
      <c r="X4005" s="131"/>
    </row>
    <row r="4006" spans="1:24" ht="15" hidden="1" x14ac:dyDescent="0.25">
      <c r="B4006" s="89">
        <v>44504.083333333336</v>
      </c>
      <c r="C4006" s="62" t="s">
        <v>3736</v>
      </c>
      <c r="D4006" s="62"/>
      <c r="E4006" s="56">
        <v>6427200</v>
      </c>
      <c r="F4006" s="61"/>
      <c r="G4006" s="93">
        <f t="shared" si="785"/>
        <v>6427200</v>
      </c>
      <c r="H4006" s="206"/>
      <c r="I4006" s="206">
        <v>62595.39</v>
      </c>
      <c r="J4006" s="206">
        <v>55008.86</v>
      </c>
      <c r="K4006" s="25">
        <f t="shared" si="788"/>
        <v>6309595.75</v>
      </c>
      <c r="L4006" s="95">
        <f>+L4005-G4006</f>
        <v>18424640</v>
      </c>
      <c r="M4006" s="96"/>
      <c r="N4006" s="96"/>
      <c r="P4006" s="84">
        <v>21488700</v>
      </c>
      <c r="Q4006" s="174">
        <v>44470</v>
      </c>
      <c r="R4006" s="125">
        <v>321400</v>
      </c>
      <c r="S4006" s="125">
        <v>411400</v>
      </c>
      <c r="W4006" s="31"/>
      <c r="X4006" s="131"/>
    </row>
    <row r="4007" spans="1:24" ht="15" hidden="1" x14ac:dyDescent="0.25">
      <c r="B4007" s="89">
        <v>44533.125</v>
      </c>
      <c r="C4007" s="62" t="s">
        <v>3737</v>
      </c>
      <c r="D4007" s="62"/>
      <c r="E4007" s="56">
        <v>6427200</v>
      </c>
      <c r="F4007" s="61"/>
      <c r="G4007" s="93">
        <f t="shared" si="785"/>
        <v>6427200</v>
      </c>
      <c r="H4007" s="206"/>
      <c r="I4007" s="206">
        <v>62595.39</v>
      </c>
      <c r="J4007" s="206">
        <v>55008.86</v>
      </c>
      <c r="K4007" s="25">
        <f t="shared" si="788"/>
        <v>6309595.75</v>
      </c>
      <c r="L4007" s="95">
        <f>+L4006-G4007</f>
        <v>11997440</v>
      </c>
      <c r="M4007" s="96"/>
      <c r="N4007" s="96"/>
      <c r="P4007" s="84">
        <v>21709194</v>
      </c>
      <c r="Q4007" s="174">
        <v>44501</v>
      </c>
      <c r="R4007" s="125">
        <v>321400</v>
      </c>
      <c r="S4007" s="125">
        <v>411400</v>
      </c>
      <c r="W4007" s="31"/>
      <c r="X4007" s="131"/>
    </row>
    <row r="4008" spans="1:24" ht="15" hidden="1" x14ac:dyDescent="0.25">
      <c r="B4008" s="89">
        <v>44553.125</v>
      </c>
      <c r="C4008" s="62" t="s">
        <v>3738</v>
      </c>
      <c r="D4008" s="62"/>
      <c r="E4008" s="56">
        <v>6427200</v>
      </c>
      <c r="F4008" s="61"/>
      <c r="G4008" s="93">
        <f t="shared" si="785"/>
        <v>6427200</v>
      </c>
      <c r="H4008" s="206"/>
      <c r="I4008" s="206">
        <v>62595.39</v>
      </c>
      <c r="J4008" s="206">
        <v>55008.86</v>
      </c>
      <c r="K4008" s="25">
        <f t="shared" si="788"/>
        <v>6309595.75</v>
      </c>
      <c r="L4008" s="95">
        <f>+L4007-G4008</f>
        <v>5570240</v>
      </c>
      <c r="M4008" s="96"/>
      <c r="N4008" s="96"/>
      <c r="P4008" s="84">
        <v>21909971</v>
      </c>
      <c r="Q4008" s="174">
        <v>44531</v>
      </c>
      <c r="R4008" s="125">
        <v>321400</v>
      </c>
      <c r="S4008" s="125">
        <v>411400</v>
      </c>
      <c r="W4008" s="31"/>
      <c r="X4008" s="131"/>
    </row>
    <row r="4009" spans="1:24" ht="15" hidden="1" x14ac:dyDescent="0.25">
      <c r="B4009" s="89"/>
      <c r="C4009" s="62"/>
      <c r="D4009" s="62"/>
      <c r="E4009" s="56"/>
      <c r="F4009" s="61"/>
      <c r="G4009" s="207"/>
      <c r="H4009" s="206"/>
      <c r="I4009" s="206"/>
      <c r="J4009" s="206"/>
      <c r="K4009" s="208"/>
      <c r="L4009" s="209"/>
      <c r="M4009" s="96"/>
      <c r="N4009" s="96"/>
      <c r="P4009" s="84"/>
      <c r="Q4009" s="174"/>
      <c r="R4009" s="178">
        <f>SUM(R4000:R4008)</f>
        <v>2864900</v>
      </c>
      <c r="S4009" s="177">
        <f>SUM(S4000:S4008)</f>
        <v>3667100</v>
      </c>
      <c r="W4009" s="31"/>
      <c r="X4009" s="131"/>
    </row>
    <row r="4010" spans="1:24" ht="15" hidden="1" x14ac:dyDescent="0.25">
      <c r="A4010" s="21">
        <v>3782021</v>
      </c>
      <c r="B4010" s="139" t="s">
        <v>3739</v>
      </c>
      <c r="C4010" s="140"/>
      <c r="D4010" s="141">
        <v>63415040</v>
      </c>
      <c r="E4010" s="141">
        <f>+D4010</f>
        <v>63415040</v>
      </c>
      <c r="F4010" s="141"/>
      <c r="G4010" s="210"/>
      <c r="H4010" s="210"/>
      <c r="I4010" s="210"/>
      <c r="J4010" s="210"/>
      <c r="K4010" s="210"/>
      <c r="L4010" s="210">
        <f>+D4010</f>
        <v>63415040</v>
      </c>
      <c r="M4010" s="142"/>
      <c r="N4010" s="142"/>
      <c r="O4010" s="149">
        <f>+VLOOKUP(A4010,'[1]ANEXO 7 - PPTO VIG 2021'!$H$8:$AB$160,21,)-L4019</f>
        <v>-6427200</v>
      </c>
    </row>
    <row r="4011" spans="1:24" ht="15" hidden="1" x14ac:dyDescent="0.25">
      <c r="B4011" s="89">
        <v>44335.083333333336</v>
      </c>
      <c r="C4011" s="62" t="s">
        <v>3740</v>
      </c>
      <c r="D4011" s="62"/>
      <c r="E4011" s="61">
        <v>5570240</v>
      </c>
      <c r="F4011" s="61"/>
      <c r="G4011" s="93">
        <f t="shared" ref="G4011:G4019" si="790">+E4011</f>
        <v>5570240</v>
      </c>
      <c r="I4011" s="138">
        <v>45987</v>
      </c>
      <c r="J4011" s="138">
        <v>47674.35</v>
      </c>
      <c r="K4011" s="25">
        <f t="shared" ref="K4011:K4019" si="791">+G4011-H4011-I4011-J4011</f>
        <v>5476578.6500000004</v>
      </c>
      <c r="L4011" s="95">
        <f t="shared" ref="L4011:L4016" si="792">+L4010-G4011</f>
        <v>57844800</v>
      </c>
      <c r="M4011" s="96"/>
      <c r="N4011" s="96"/>
      <c r="O4011" s="130"/>
      <c r="P4011" s="55">
        <v>1037725984</v>
      </c>
      <c r="Q4011" s="127">
        <v>44287</v>
      </c>
      <c r="R4011" s="14">
        <v>321400</v>
      </c>
      <c r="S4011" s="14">
        <v>411400</v>
      </c>
      <c r="T4011" s="3">
        <f>+L4010-6427200</f>
        <v>56987840</v>
      </c>
      <c r="U4011" s="3">
        <f>+T4011*40%</f>
        <v>22795136</v>
      </c>
    </row>
    <row r="4012" spans="1:24" ht="15" hidden="1" x14ac:dyDescent="0.25">
      <c r="B4012" s="89">
        <v>44369.083333333336</v>
      </c>
      <c r="C4012" s="62" t="s">
        <v>3741</v>
      </c>
      <c r="D4012" s="62"/>
      <c r="E4012" s="61">
        <v>6427200</v>
      </c>
      <c r="F4012" s="61"/>
      <c r="G4012" s="93">
        <f t="shared" si="790"/>
        <v>6427200</v>
      </c>
      <c r="I4012" s="138">
        <v>154182.97</v>
      </c>
      <c r="J4012" s="138">
        <v>55008.86</v>
      </c>
      <c r="K4012" s="25">
        <f t="shared" si="791"/>
        <v>6218008.1699999999</v>
      </c>
      <c r="L4012" s="95">
        <f t="shared" si="792"/>
        <v>51417600</v>
      </c>
      <c r="M4012" s="96"/>
      <c r="N4012" s="96"/>
      <c r="O4012" s="130"/>
      <c r="P4012" s="55">
        <v>1038046622</v>
      </c>
      <c r="Q4012" s="127">
        <v>44317</v>
      </c>
      <c r="R4012" s="14">
        <v>321400</v>
      </c>
      <c r="S4012" s="14">
        <v>411400</v>
      </c>
      <c r="U4012" s="3"/>
    </row>
    <row r="4013" spans="1:24" ht="15" hidden="1" x14ac:dyDescent="0.25">
      <c r="B4013" s="89">
        <v>44403.083333333336</v>
      </c>
      <c r="C4013" s="62" t="s">
        <v>3742</v>
      </c>
      <c r="D4013" s="62"/>
      <c r="E4013" s="61">
        <v>6427200</v>
      </c>
      <c r="F4013" s="61"/>
      <c r="G4013" s="93">
        <f t="shared" si="790"/>
        <v>6427200</v>
      </c>
      <c r="I4013" s="138">
        <v>154182.97</v>
      </c>
      <c r="J4013" s="138">
        <v>55008.86</v>
      </c>
      <c r="K4013" s="25">
        <f t="shared" si="791"/>
        <v>6218008.1699999999</v>
      </c>
      <c r="L4013" s="95">
        <f t="shared" si="792"/>
        <v>44990400</v>
      </c>
      <c r="M4013" s="96"/>
      <c r="N4013" s="96"/>
      <c r="O4013" s="130"/>
      <c r="P4013" s="55">
        <v>1038949060</v>
      </c>
      <c r="Q4013" s="127">
        <v>44348</v>
      </c>
      <c r="R4013" s="14">
        <v>321400</v>
      </c>
      <c r="S4013" s="14">
        <v>411400</v>
      </c>
      <c r="U4013" s="3">
        <f>+U4011*12.5%</f>
        <v>2849392</v>
      </c>
      <c r="V4013" s="173" t="s">
        <v>2769</v>
      </c>
    </row>
    <row r="4014" spans="1:24" ht="15" hidden="1" x14ac:dyDescent="0.25">
      <c r="B4014" s="89">
        <v>44435.083333333336</v>
      </c>
      <c r="C4014" s="62" t="s">
        <v>3743</v>
      </c>
      <c r="D4014" s="62"/>
      <c r="E4014" s="56">
        <v>6427200</v>
      </c>
      <c r="F4014" s="61"/>
      <c r="G4014" s="93">
        <f t="shared" si="790"/>
        <v>6427200</v>
      </c>
      <c r="I4014" s="138">
        <v>154182.97</v>
      </c>
      <c r="J4014" s="138">
        <v>55008.86</v>
      </c>
      <c r="K4014" s="25">
        <f t="shared" si="791"/>
        <v>6218008.1699999999</v>
      </c>
      <c r="L4014" s="95">
        <f t="shared" si="792"/>
        <v>38563200</v>
      </c>
      <c r="M4014" s="96"/>
      <c r="N4014" s="96"/>
      <c r="O4014" s="130"/>
      <c r="P4014" s="55">
        <v>1038808074</v>
      </c>
      <c r="Q4014" s="127">
        <v>44378</v>
      </c>
      <c r="R4014" s="14">
        <v>321400</v>
      </c>
      <c r="S4014" s="14">
        <v>411400</v>
      </c>
      <c r="U4014" s="3">
        <f>+U4011*16%</f>
        <v>3647221.7600000002</v>
      </c>
      <c r="V4014" s="172" t="s">
        <v>2771</v>
      </c>
      <c r="W4014" s="31">
        <v>6427200</v>
      </c>
      <c r="X4014" s="131">
        <f>+E4014-W4014</f>
        <v>0</v>
      </c>
    </row>
    <row r="4015" spans="1:24" ht="15" hidden="1" x14ac:dyDescent="0.25">
      <c r="B4015" s="89">
        <v>44462.083333333336</v>
      </c>
      <c r="C4015" s="62" t="s">
        <v>3744</v>
      </c>
      <c r="D4015" s="62"/>
      <c r="E4015" s="56">
        <v>6427200</v>
      </c>
      <c r="F4015" s="61"/>
      <c r="G4015" s="93">
        <f t="shared" si="790"/>
        <v>6427200</v>
      </c>
      <c r="I4015" s="138">
        <v>154182.97</v>
      </c>
      <c r="J4015" s="138">
        <v>55008.86</v>
      </c>
      <c r="K4015" s="25">
        <f t="shared" si="791"/>
        <v>6218008.1699999999</v>
      </c>
      <c r="L4015" s="95">
        <f t="shared" si="792"/>
        <v>32136000</v>
      </c>
      <c r="M4015" s="96"/>
      <c r="N4015" s="96"/>
      <c r="O4015" s="130"/>
      <c r="P4015" s="55">
        <v>1040363272</v>
      </c>
      <c r="Q4015" s="127">
        <v>44409</v>
      </c>
      <c r="R4015" s="14">
        <v>321400</v>
      </c>
      <c r="S4015" s="14">
        <v>411400</v>
      </c>
      <c r="W4015" s="31"/>
      <c r="X4015" s="131"/>
    </row>
    <row r="4016" spans="1:24" ht="15" hidden="1" x14ac:dyDescent="0.25">
      <c r="B4016" s="89">
        <v>44517.125</v>
      </c>
      <c r="C4016" s="62" t="s">
        <v>3745</v>
      </c>
      <c r="D4016" s="62"/>
      <c r="E4016" s="56">
        <v>6427200</v>
      </c>
      <c r="F4016" s="61"/>
      <c r="G4016" s="93">
        <f t="shared" si="790"/>
        <v>6427200</v>
      </c>
      <c r="I4016" s="138">
        <v>154182.97</v>
      </c>
      <c r="J4016" s="138">
        <v>55008.86</v>
      </c>
      <c r="K4016" s="25">
        <f t="shared" si="791"/>
        <v>6218008.1699999999</v>
      </c>
      <c r="L4016" s="95">
        <f t="shared" si="792"/>
        <v>25708800</v>
      </c>
      <c r="M4016" s="96"/>
      <c r="N4016" s="96"/>
      <c r="O4016" s="130"/>
      <c r="P4016" s="84">
        <v>1040617082</v>
      </c>
      <c r="Q4016" s="127">
        <v>44440</v>
      </c>
      <c r="R4016" s="14">
        <v>321400</v>
      </c>
      <c r="S4016" s="14">
        <v>411400</v>
      </c>
      <c r="W4016" s="31"/>
      <c r="X4016" s="131"/>
    </row>
    <row r="4017" spans="1:24" ht="15" hidden="1" x14ac:dyDescent="0.25">
      <c r="B4017" s="89">
        <v>44545.125</v>
      </c>
      <c r="C4017" s="62" t="s">
        <v>3746</v>
      </c>
      <c r="D4017" s="62"/>
      <c r="E4017" s="56">
        <v>6427200</v>
      </c>
      <c r="F4017" s="61"/>
      <c r="G4017" s="93">
        <f t="shared" si="790"/>
        <v>6427200</v>
      </c>
      <c r="I4017" s="138">
        <v>154182.97</v>
      </c>
      <c r="J4017" s="138">
        <v>55008.86</v>
      </c>
      <c r="K4017" s="25">
        <f t="shared" si="791"/>
        <v>6218008.1699999999</v>
      </c>
      <c r="L4017" s="95">
        <f>+L4016-G4017</f>
        <v>19281600</v>
      </c>
      <c r="M4017" s="96"/>
      <c r="N4017" s="96"/>
      <c r="O4017" s="130"/>
      <c r="P4017" s="84">
        <v>1038808077</v>
      </c>
      <c r="Q4017" s="127">
        <v>44470</v>
      </c>
      <c r="R4017" s="14">
        <v>321400</v>
      </c>
      <c r="S4017" s="14">
        <v>411400</v>
      </c>
      <c r="W4017" s="31"/>
      <c r="X4017" s="131"/>
    </row>
    <row r="4018" spans="1:24" ht="15" hidden="1" x14ac:dyDescent="0.25">
      <c r="B4018" s="89">
        <v>44545.125</v>
      </c>
      <c r="C4018" s="62" t="s">
        <v>3747</v>
      </c>
      <c r="D4018" s="62"/>
      <c r="E4018" s="56">
        <v>6427200</v>
      </c>
      <c r="F4018" s="61"/>
      <c r="G4018" s="93">
        <f t="shared" si="790"/>
        <v>6427200</v>
      </c>
      <c r="I4018" s="138">
        <v>154182.97</v>
      </c>
      <c r="J4018" s="138">
        <v>55008.86</v>
      </c>
      <c r="K4018" s="25">
        <f t="shared" si="791"/>
        <v>6218008.1699999999</v>
      </c>
      <c r="L4018" s="95">
        <f>+L4017-G4018</f>
        <v>12854400</v>
      </c>
      <c r="M4018" s="96"/>
      <c r="N4018" s="96"/>
      <c r="O4018" s="130"/>
      <c r="P4018" s="84">
        <v>1042023572</v>
      </c>
      <c r="Q4018" s="127">
        <v>44501</v>
      </c>
      <c r="R4018" s="14">
        <v>321400</v>
      </c>
      <c r="S4018" s="14">
        <v>411400</v>
      </c>
      <c r="W4018" s="31"/>
      <c r="X4018" s="131"/>
    </row>
    <row r="4019" spans="1:24" ht="15" hidden="1" x14ac:dyDescent="0.25">
      <c r="B4019" s="89">
        <v>44553.125</v>
      </c>
      <c r="C4019" s="62" t="s">
        <v>3748</v>
      </c>
      <c r="D4019" s="62"/>
      <c r="E4019" s="56">
        <v>6427200</v>
      </c>
      <c r="F4019" s="61"/>
      <c r="G4019" s="93">
        <f t="shared" si="790"/>
        <v>6427200</v>
      </c>
      <c r="I4019" s="138">
        <v>154182.97</v>
      </c>
      <c r="J4019" s="138">
        <v>55008.86</v>
      </c>
      <c r="K4019" s="25">
        <f t="shared" si="791"/>
        <v>6218008.1699999999</v>
      </c>
      <c r="L4019" s="95">
        <f>+L4018-G4019</f>
        <v>6427200</v>
      </c>
      <c r="M4019" s="96"/>
      <c r="N4019" s="96"/>
      <c r="O4019" s="130"/>
      <c r="P4019" s="84">
        <v>1042157515</v>
      </c>
      <c r="Q4019" s="127">
        <v>44531</v>
      </c>
      <c r="R4019" s="14">
        <v>321400</v>
      </c>
      <c r="S4019" s="14">
        <v>411400</v>
      </c>
      <c r="W4019" s="31"/>
      <c r="X4019" s="131"/>
    </row>
    <row r="4020" spans="1:24" ht="15" hidden="1" x14ac:dyDescent="0.25">
      <c r="B4020" s="89"/>
      <c r="C4020" s="62"/>
      <c r="D4020" s="62"/>
      <c r="E4020" s="56"/>
      <c r="F4020" s="61"/>
      <c r="G4020" s="93"/>
      <c r="K4020" s="25"/>
      <c r="L4020" s="95"/>
      <c r="M4020" s="96"/>
      <c r="N4020" s="96"/>
      <c r="O4020" s="130"/>
      <c r="P4020" s="84"/>
      <c r="Q4020" s="174"/>
      <c r="R4020" s="178">
        <f>SUM(R4011:R4019)</f>
        <v>2892600</v>
      </c>
      <c r="S4020" s="177">
        <f>SUM(S4011:S4019)</f>
        <v>3702600</v>
      </c>
      <c r="W4020" s="31"/>
      <c r="X4020" s="131"/>
    </row>
    <row r="4021" spans="1:24" ht="15" hidden="1" x14ac:dyDescent="0.25">
      <c r="A4021" s="21">
        <v>4032021</v>
      </c>
      <c r="B4021" s="139" t="s">
        <v>3749</v>
      </c>
      <c r="C4021" s="140"/>
      <c r="D4021" s="141">
        <v>28266667</v>
      </c>
      <c r="E4021" s="141">
        <f>+D4021</f>
        <v>28266667</v>
      </c>
      <c r="F4021" s="141"/>
      <c r="G4021" s="141"/>
      <c r="H4021" s="141"/>
      <c r="I4021" s="141"/>
      <c r="J4021" s="141"/>
      <c r="K4021" s="141"/>
      <c r="L4021" s="141">
        <f>+D4021</f>
        <v>28266667</v>
      </c>
      <c r="M4021" s="142"/>
      <c r="N4021" s="142"/>
      <c r="O4021" s="149">
        <f>+VLOOKUP(A4021,'[1]ANEXO 7 - PPTO VIG 2021'!$H$8:$AB$160,21,)-L4031</f>
        <v>-213334</v>
      </c>
    </row>
    <row r="4022" spans="1:24" ht="15" hidden="1" x14ac:dyDescent="0.25">
      <c r="B4022" s="180"/>
      <c r="C4022" s="181"/>
      <c r="D4022" s="182"/>
      <c r="E4022" s="182"/>
      <c r="F4022" s="182"/>
      <c r="G4022" s="182"/>
      <c r="H4022" s="182"/>
      <c r="I4022" s="182"/>
      <c r="J4022" s="182"/>
      <c r="K4022" s="182"/>
      <c r="L4022" s="182"/>
      <c r="M4022" s="183"/>
      <c r="N4022" s="183"/>
      <c r="O4022" s="81"/>
      <c r="P4022" s="55">
        <v>9419369996</v>
      </c>
      <c r="Q4022" s="127">
        <v>44287</v>
      </c>
      <c r="R4022" s="14">
        <v>5200</v>
      </c>
      <c r="S4022" s="14">
        <v>6700</v>
      </c>
      <c r="T4022" s="3">
        <f>+L4021-213334</f>
        <v>28053333</v>
      </c>
      <c r="U4022" s="3">
        <f>+T4022*40%</f>
        <v>11221333.200000001</v>
      </c>
    </row>
    <row r="4023" spans="1:24" ht="15" hidden="1" x14ac:dyDescent="0.25">
      <c r="B4023" s="89">
        <v>44326.083333333336</v>
      </c>
      <c r="C4023" s="92" t="s">
        <v>3750</v>
      </c>
      <c r="D4023" s="23"/>
      <c r="E4023" s="91">
        <v>2453333</v>
      </c>
      <c r="F4023" s="93"/>
      <c r="G4023" s="93">
        <f t="shared" ref="G4023:G4031" si="793">+E4023</f>
        <v>2453333</v>
      </c>
      <c r="H4023" s="94"/>
      <c r="I4023" s="91"/>
      <c r="J4023" s="91">
        <v>20997.49</v>
      </c>
      <c r="K4023" s="25">
        <f t="shared" ref="K4023:K4031" si="794">+G4023-H4023-I4023-J4023</f>
        <v>2432335.5099999998</v>
      </c>
      <c r="L4023" s="95">
        <f>+L4021-G4023</f>
        <v>25813334</v>
      </c>
      <c r="M4023" s="20">
        <v>2453333</v>
      </c>
      <c r="N4023" s="20">
        <f>+G4023-M4023</f>
        <v>0</v>
      </c>
      <c r="O4023" s="130"/>
      <c r="P4023" s="55">
        <v>9418574640</v>
      </c>
      <c r="Q4023" s="127">
        <v>44287</v>
      </c>
      <c r="R4023" s="14">
        <v>117500</v>
      </c>
      <c r="S4023" s="14">
        <v>150400</v>
      </c>
      <c r="U4023" s="3"/>
    </row>
    <row r="4024" spans="1:24" ht="15" hidden="1" x14ac:dyDescent="0.25">
      <c r="B4024" s="89">
        <v>44349.083333333336</v>
      </c>
      <c r="C4024" s="92" t="s">
        <v>3751</v>
      </c>
      <c r="D4024" s="23"/>
      <c r="E4024" s="91">
        <v>3200000</v>
      </c>
      <c r="F4024" s="93"/>
      <c r="G4024" s="93">
        <f t="shared" si="793"/>
        <v>3200000</v>
      </c>
      <c r="H4024" s="94"/>
      <c r="I4024" s="91"/>
      <c r="J4024" s="91">
        <v>27388.03</v>
      </c>
      <c r="K4024" s="25">
        <f t="shared" si="794"/>
        <v>3172611.97</v>
      </c>
      <c r="L4024" s="95">
        <f t="shared" ref="L4024:L4031" si="795">+L4023-G4024</f>
        <v>22613334</v>
      </c>
      <c r="M4024" s="20"/>
      <c r="N4024" s="20"/>
      <c r="O4024" s="130"/>
      <c r="P4024" s="55">
        <v>999168360</v>
      </c>
      <c r="Q4024" s="127">
        <v>44317</v>
      </c>
      <c r="R4024" s="14">
        <v>160000</v>
      </c>
      <c r="S4024" s="14">
        <v>204800</v>
      </c>
      <c r="U4024" s="3"/>
    </row>
    <row r="4025" spans="1:24" ht="15" hidden="1" x14ac:dyDescent="0.25">
      <c r="B4025" s="89">
        <v>44403.083333333336</v>
      </c>
      <c r="C4025" s="92" t="s">
        <v>3752</v>
      </c>
      <c r="D4025" s="23"/>
      <c r="E4025" s="91">
        <v>3200000</v>
      </c>
      <c r="F4025" s="93"/>
      <c r="G4025" s="93">
        <f t="shared" si="793"/>
        <v>3200000</v>
      </c>
      <c r="H4025" s="94"/>
      <c r="I4025" s="91"/>
      <c r="J4025" s="91">
        <v>27388.03</v>
      </c>
      <c r="K4025" s="25">
        <f t="shared" si="794"/>
        <v>3172611.97</v>
      </c>
      <c r="L4025" s="95">
        <f t="shared" si="795"/>
        <v>19413334</v>
      </c>
      <c r="M4025" s="20"/>
      <c r="N4025" s="20"/>
      <c r="O4025" s="130"/>
      <c r="P4025" s="55">
        <v>942111088</v>
      </c>
      <c r="Q4025" s="127">
        <v>44348</v>
      </c>
      <c r="R4025" s="14">
        <v>160000</v>
      </c>
      <c r="S4025" s="14">
        <v>204800</v>
      </c>
      <c r="U4025" s="3">
        <f>+U4022*12.5%</f>
        <v>1402666.6500000001</v>
      </c>
      <c r="V4025" s="173" t="s">
        <v>2769</v>
      </c>
    </row>
    <row r="4026" spans="1:24" ht="15" hidden="1" x14ac:dyDescent="0.25">
      <c r="B4026" s="89">
        <v>44431.083333333336</v>
      </c>
      <c r="C4026" s="92" t="s">
        <v>3753</v>
      </c>
      <c r="D4026" s="23"/>
      <c r="E4026" s="91">
        <v>3200000</v>
      </c>
      <c r="F4026" s="93"/>
      <c r="G4026" s="93">
        <f t="shared" si="793"/>
        <v>3200000</v>
      </c>
      <c r="H4026" s="94"/>
      <c r="I4026" s="91"/>
      <c r="J4026" s="91">
        <v>27388.03</v>
      </c>
      <c r="K4026" s="25">
        <f t="shared" si="794"/>
        <v>3172611.97</v>
      </c>
      <c r="L4026" s="95">
        <f t="shared" si="795"/>
        <v>16213334</v>
      </c>
      <c r="M4026" s="20"/>
      <c r="N4026" s="20"/>
      <c r="O4026" s="130"/>
      <c r="P4026" s="84">
        <v>9422286551</v>
      </c>
      <c r="Q4026" s="127">
        <v>44378</v>
      </c>
      <c r="R4026" s="14">
        <v>160000</v>
      </c>
      <c r="S4026" s="14">
        <v>204800</v>
      </c>
      <c r="U4026" s="3">
        <f>+U4022*16%</f>
        <v>1795413.3120000002</v>
      </c>
      <c r="V4026" s="172" t="s">
        <v>2771</v>
      </c>
      <c r="W4026" s="31">
        <v>3200000</v>
      </c>
      <c r="X4026" s="131">
        <f>+E4026-W4026</f>
        <v>0</v>
      </c>
    </row>
    <row r="4027" spans="1:24" ht="15" hidden="1" x14ac:dyDescent="0.25">
      <c r="B4027" s="89">
        <v>44452.083333333336</v>
      </c>
      <c r="C4027" s="92" t="s">
        <v>3754</v>
      </c>
      <c r="D4027" s="23"/>
      <c r="E4027" s="91">
        <v>3200000</v>
      </c>
      <c r="F4027" s="93"/>
      <c r="G4027" s="93">
        <f t="shared" si="793"/>
        <v>3200000</v>
      </c>
      <c r="H4027" s="94"/>
      <c r="I4027" s="91"/>
      <c r="J4027" s="91">
        <v>27388.03</v>
      </c>
      <c r="K4027" s="25">
        <f t="shared" si="794"/>
        <v>3172611.97</v>
      </c>
      <c r="L4027" s="95">
        <f t="shared" si="795"/>
        <v>13013334</v>
      </c>
      <c r="M4027" s="20"/>
      <c r="N4027" s="20"/>
      <c r="O4027" s="130"/>
      <c r="P4027" s="84">
        <v>9423474758</v>
      </c>
      <c r="Q4027" s="127">
        <v>44409</v>
      </c>
      <c r="R4027" s="14">
        <v>160000</v>
      </c>
      <c r="S4027" s="14">
        <v>204800</v>
      </c>
      <c r="W4027" s="31"/>
      <c r="X4027" s="131"/>
    </row>
    <row r="4028" spans="1:24" ht="15" hidden="1" x14ac:dyDescent="0.25">
      <c r="B4028" s="89">
        <v>44495.083333333336</v>
      </c>
      <c r="C4028" s="92" t="s">
        <v>3755</v>
      </c>
      <c r="D4028" s="23"/>
      <c r="E4028" s="91">
        <v>3200000</v>
      </c>
      <c r="F4028" s="93"/>
      <c r="G4028" s="93">
        <f t="shared" si="793"/>
        <v>3200000</v>
      </c>
      <c r="H4028" s="94"/>
      <c r="I4028" s="91"/>
      <c r="J4028" s="91">
        <v>27388.03</v>
      </c>
      <c r="K4028" s="25">
        <f t="shared" si="794"/>
        <v>3172611.97</v>
      </c>
      <c r="L4028" s="95">
        <f t="shared" si="795"/>
        <v>9813334</v>
      </c>
      <c r="M4028" s="20"/>
      <c r="N4028" s="20"/>
      <c r="O4028" s="130"/>
      <c r="P4028" s="84">
        <v>9424709828</v>
      </c>
      <c r="Q4028" s="127">
        <v>44440</v>
      </c>
      <c r="R4028" s="14">
        <v>160000</v>
      </c>
      <c r="S4028" s="14">
        <v>204800</v>
      </c>
      <c r="W4028" s="31"/>
      <c r="X4028" s="131"/>
    </row>
    <row r="4029" spans="1:24" ht="15" hidden="1" x14ac:dyDescent="0.25">
      <c r="B4029" s="89">
        <v>44522.125</v>
      </c>
      <c r="C4029" s="92" t="s">
        <v>3756</v>
      </c>
      <c r="D4029" s="23"/>
      <c r="E4029" s="91">
        <v>3200000</v>
      </c>
      <c r="F4029" s="93"/>
      <c r="G4029" s="93">
        <f t="shared" si="793"/>
        <v>3200000</v>
      </c>
      <c r="H4029" s="94"/>
      <c r="I4029" s="91"/>
      <c r="J4029" s="91">
        <v>27388.03</v>
      </c>
      <c r="K4029" s="25">
        <f t="shared" si="794"/>
        <v>3172611.97</v>
      </c>
      <c r="L4029" s="95">
        <f t="shared" si="795"/>
        <v>6613334</v>
      </c>
      <c r="M4029" s="20"/>
      <c r="N4029" s="20"/>
      <c r="O4029" s="130"/>
      <c r="P4029" s="84">
        <v>9425900900</v>
      </c>
      <c r="Q4029" s="127">
        <v>44470</v>
      </c>
      <c r="R4029" s="14">
        <v>160000</v>
      </c>
      <c r="S4029" s="14">
        <v>204800</v>
      </c>
      <c r="W4029" s="31"/>
      <c r="X4029" s="131"/>
    </row>
    <row r="4030" spans="1:24" ht="15" hidden="1" x14ac:dyDescent="0.25">
      <c r="B4030" s="89">
        <v>44552.125</v>
      </c>
      <c r="C4030" s="92" t="s">
        <v>3757</v>
      </c>
      <c r="D4030" s="23"/>
      <c r="E4030" s="91">
        <v>3200000</v>
      </c>
      <c r="F4030" s="93"/>
      <c r="G4030" s="93">
        <f t="shared" si="793"/>
        <v>3200000</v>
      </c>
      <c r="H4030" s="94"/>
      <c r="I4030" s="91"/>
      <c r="J4030" s="91">
        <v>27388.03</v>
      </c>
      <c r="K4030" s="25">
        <f t="shared" si="794"/>
        <v>3172611.97</v>
      </c>
      <c r="L4030" s="95">
        <f t="shared" si="795"/>
        <v>3413334</v>
      </c>
      <c r="M4030" s="20"/>
      <c r="N4030" s="20"/>
      <c r="O4030" s="130"/>
      <c r="P4030" s="84">
        <v>9427151302</v>
      </c>
      <c r="Q4030" s="127">
        <v>44501</v>
      </c>
      <c r="R4030" s="14">
        <v>160000</v>
      </c>
      <c r="S4030" s="14">
        <v>204800</v>
      </c>
      <c r="W4030" s="31"/>
      <c r="X4030" s="131"/>
    </row>
    <row r="4031" spans="1:24" ht="15" hidden="1" x14ac:dyDescent="0.25">
      <c r="B4031" s="89">
        <v>44553.125</v>
      </c>
      <c r="C4031" s="92" t="s">
        <v>3758</v>
      </c>
      <c r="D4031" s="23"/>
      <c r="E4031" s="91">
        <v>3200000</v>
      </c>
      <c r="F4031" s="93"/>
      <c r="G4031" s="93">
        <f t="shared" si="793"/>
        <v>3200000</v>
      </c>
      <c r="H4031" s="94"/>
      <c r="I4031" s="91"/>
      <c r="J4031" s="91">
        <v>27388.03</v>
      </c>
      <c r="K4031" s="25">
        <f t="shared" si="794"/>
        <v>3172611.97</v>
      </c>
      <c r="L4031" s="95">
        <f t="shared" si="795"/>
        <v>213334</v>
      </c>
      <c r="M4031" s="20"/>
      <c r="N4031" s="20"/>
      <c r="O4031" s="130"/>
      <c r="P4031" s="84">
        <v>9428279189</v>
      </c>
      <c r="Q4031" s="127">
        <v>44531</v>
      </c>
      <c r="R4031" s="14">
        <v>160000</v>
      </c>
      <c r="S4031" s="14">
        <v>204800</v>
      </c>
      <c r="W4031" s="31"/>
      <c r="X4031" s="131"/>
    </row>
    <row r="4032" spans="1:24" ht="15" hidden="1" x14ac:dyDescent="0.25">
      <c r="B4032" s="89"/>
      <c r="C4032" s="92"/>
      <c r="D4032" s="23"/>
      <c r="E4032" s="91"/>
      <c r="F4032" s="93"/>
      <c r="G4032" s="93"/>
      <c r="H4032" s="94"/>
      <c r="I4032" s="91"/>
      <c r="J4032" s="91"/>
      <c r="K4032" s="25"/>
      <c r="L4032" s="95"/>
      <c r="M4032" s="20"/>
      <c r="N4032" s="20"/>
      <c r="O4032" s="130"/>
      <c r="P4032" s="84"/>
      <c r="Q4032" s="174"/>
      <c r="R4032" s="178">
        <f>SUM(R4022:R4031)</f>
        <v>1402700</v>
      </c>
      <c r="S4032" s="177">
        <f>SUM(S4022:S4031)</f>
        <v>1795500</v>
      </c>
      <c r="W4032" s="31"/>
      <c r="X4032" s="131"/>
    </row>
    <row r="4033" spans="1:24" ht="15" hidden="1" x14ac:dyDescent="0.25">
      <c r="A4033" s="21">
        <v>4162021</v>
      </c>
      <c r="B4033" s="139" t="s">
        <v>3759</v>
      </c>
      <c r="C4033" s="140"/>
      <c r="D4033" s="141">
        <v>1150368520</v>
      </c>
      <c r="E4033" s="141">
        <f>+D4033</f>
        <v>1150368520</v>
      </c>
      <c r="F4033" s="141"/>
      <c r="G4033" s="141"/>
      <c r="H4033" s="141"/>
      <c r="I4033" s="141"/>
      <c r="J4033" s="141"/>
      <c r="K4033" s="141"/>
      <c r="L4033" s="141">
        <f>+D4033</f>
        <v>1150368520</v>
      </c>
      <c r="M4033" s="142"/>
      <c r="N4033" s="142"/>
      <c r="O4033" s="149">
        <f>+VLOOKUP(A4033,'[1]ANEXO 7 - PPTO VIG 2021'!$H$8:$AB$160,21,)-L4036</f>
        <v>0</v>
      </c>
    </row>
    <row r="4034" spans="1:24" ht="15" hidden="1" x14ac:dyDescent="0.25">
      <c r="B4034" s="89">
        <v>44370.083333333336</v>
      </c>
      <c r="C4034" s="200" t="s">
        <v>3760</v>
      </c>
      <c r="E4034" s="91">
        <v>290000000</v>
      </c>
      <c r="G4034" s="93">
        <f>+E4034</f>
        <v>290000000</v>
      </c>
      <c r="K4034" s="25">
        <f>+G4034-H4034-I4034-J4034</f>
        <v>290000000</v>
      </c>
      <c r="L4034" s="95">
        <f>+L4033-G4034</f>
        <v>860368520</v>
      </c>
    </row>
    <row r="4035" spans="1:24" ht="15" hidden="1" x14ac:dyDescent="0.25">
      <c r="B4035" s="89">
        <v>44459.083333333336</v>
      </c>
      <c r="C4035" s="200" t="s">
        <v>3761</v>
      </c>
      <c r="E4035" s="91">
        <v>540368520</v>
      </c>
      <c r="G4035" s="93">
        <f>+E4035</f>
        <v>540368520</v>
      </c>
      <c r="K4035" s="25">
        <f>+G4035-H4035-I4035-J4035</f>
        <v>540368520</v>
      </c>
      <c r="L4035" s="95">
        <f>+L4034-G4035</f>
        <v>320000000</v>
      </c>
    </row>
    <row r="4036" spans="1:24" ht="15" hidden="1" x14ac:dyDescent="0.25">
      <c r="B4036" s="89">
        <v>44552.125</v>
      </c>
      <c r="C4036" s="200" t="s">
        <v>3762</v>
      </c>
      <c r="E4036" s="91">
        <v>160000000</v>
      </c>
      <c r="G4036" s="93">
        <f>+E4036</f>
        <v>160000000</v>
      </c>
      <c r="K4036" s="25">
        <f>+G4036-H4036-I4036-J4036</f>
        <v>160000000</v>
      </c>
      <c r="L4036" s="95">
        <f>+L4035-G4036</f>
        <v>160000000</v>
      </c>
    </row>
    <row r="4037" spans="1:24" ht="15" hidden="1" x14ac:dyDescent="0.25">
      <c r="A4037" s="21">
        <v>41620211</v>
      </c>
      <c r="B4037" s="139" t="s">
        <v>3763</v>
      </c>
      <c r="C4037" s="140"/>
      <c r="D4037" s="141">
        <v>619631480</v>
      </c>
      <c r="E4037" s="141">
        <f>+D4037</f>
        <v>619631480</v>
      </c>
      <c r="F4037" s="141"/>
      <c r="G4037" s="141"/>
      <c r="H4037" s="141"/>
      <c r="I4037" s="141"/>
      <c r="J4037" s="141"/>
      <c r="K4037" s="141"/>
      <c r="L4037" s="141">
        <f>+D4037</f>
        <v>619631480</v>
      </c>
      <c r="M4037" s="142"/>
      <c r="N4037" s="142"/>
      <c r="O4037" s="149">
        <f>+VLOOKUP(A4037,'[1]ANEXO 7 - PPTO VIG 2021'!$H$8:$AB$160,21,)-L4039</f>
        <v>0</v>
      </c>
    </row>
    <row r="4038" spans="1:24" ht="15" hidden="1" x14ac:dyDescent="0.25">
      <c r="B4038" s="89">
        <v>44459.083333333336</v>
      </c>
      <c r="C4038" s="200" t="s">
        <v>3761</v>
      </c>
      <c r="E4038" s="91">
        <v>39631480</v>
      </c>
      <c r="G4038" s="93">
        <f>+E4038</f>
        <v>39631480</v>
      </c>
      <c r="K4038" s="25">
        <f>+G4038-H4038-I4038-J4038</f>
        <v>39631480</v>
      </c>
      <c r="L4038" s="95">
        <f>+L4037-G4038</f>
        <v>580000000</v>
      </c>
    </row>
    <row r="4039" spans="1:24" ht="15" hidden="1" x14ac:dyDescent="0.25">
      <c r="B4039" s="89">
        <v>44552.125</v>
      </c>
      <c r="C4039" s="200" t="s">
        <v>3761</v>
      </c>
      <c r="E4039" s="91">
        <v>290000000</v>
      </c>
      <c r="G4039" s="93">
        <f>+E4039</f>
        <v>290000000</v>
      </c>
      <c r="K4039" s="25">
        <f>+G4039-H4039-I4039-J4039</f>
        <v>290000000</v>
      </c>
      <c r="L4039" s="95">
        <f>+L4038-G4039</f>
        <v>290000000</v>
      </c>
    </row>
    <row r="4040" spans="1:24" ht="15" hidden="1" x14ac:dyDescent="0.25">
      <c r="A4040" s="21">
        <v>4462021</v>
      </c>
      <c r="B4040" s="139" t="s">
        <v>3764</v>
      </c>
      <c r="C4040" s="140"/>
      <c r="D4040" s="141">
        <v>72000000</v>
      </c>
      <c r="E4040" s="141">
        <f>+D4040</f>
        <v>72000000</v>
      </c>
      <c r="F4040" s="141"/>
      <c r="G4040" s="141"/>
      <c r="H4040" s="141"/>
      <c r="I4040" s="141"/>
      <c r="J4040" s="141"/>
      <c r="K4040" s="141"/>
      <c r="L4040" s="141">
        <f>+D4040</f>
        <v>72000000</v>
      </c>
      <c r="M4040" s="142"/>
      <c r="N4040" s="142"/>
      <c r="O4040" s="149">
        <f>+VLOOKUP(A4040,'[1]ANEXO 7 - PPTO VIG 2021'!$H$8:$AB$160,21,)-L4048</f>
        <v>-4800000</v>
      </c>
    </row>
    <row r="4041" spans="1:24" ht="15" hidden="1" x14ac:dyDescent="0.25">
      <c r="B4041" s="89">
        <v>44370.083333333336</v>
      </c>
      <c r="C4041" s="62" t="s">
        <v>3765</v>
      </c>
      <c r="D4041" s="55"/>
      <c r="E4041" s="91">
        <v>4200000</v>
      </c>
      <c r="F4041" s="61"/>
      <c r="G4041" s="93">
        <f t="shared" ref="G4041:G4048" si="796">+E4041</f>
        <v>4200000</v>
      </c>
      <c r="H4041" s="61"/>
      <c r="I4041" s="61"/>
      <c r="J4041" s="61">
        <v>35946.79</v>
      </c>
      <c r="K4041" s="25">
        <f t="shared" ref="K4041:K4048" si="797">+G4041-H4041-I4041-J4041</f>
        <v>4164053.21</v>
      </c>
      <c r="L4041" s="95">
        <f t="shared" ref="L4041:L4046" si="798">+L4040-G4041</f>
        <v>67800000</v>
      </c>
      <c r="P4041" s="55">
        <v>1004441569</v>
      </c>
      <c r="Q4041" s="97">
        <v>44287</v>
      </c>
      <c r="R4041" s="14">
        <v>210000</v>
      </c>
      <c r="S4041" s="14">
        <v>268800</v>
      </c>
      <c r="T4041" s="3">
        <f>+L4040-4800000</f>
        <v>67200000</v>
      </c>
      <c r="U4041" s="3">
        <f>+T4041*40%</f>
        <v>26880000</v>
      </c>
    </row>
    <row r="4042" spans="1:24" ht="15" hidden="1" x14ac:dyDescent="0.25">
      <c r="B4042" s="89">
        <v>44383.083333333336</v>
      </c>
      <c r="C4042" s="62" t="s">
        <v>3766</v>
      </c>
      <c r="D4042" s="55"/>
      <c r="E4042" s="91">
        <v>9000000</v>
      </c>
      <c r="F4042" s="61"/>
      <c r="G4042" s="93">
        <f t="shared" si="796"/>
        <v>9000000</v>
      </c>
      <c r="H4042" s="61"/>
      <c r="I4042" s="61">
        <v>494267.01</v>
      </c>
      <c r="J4042" s="61">
        <v>77028.84</v>
      </c>
      <c r="K4042" s="25">
        <f t="shared" si="797"/>
        <v>8428704.1500000004</v>
      </c>
      <c r="L4042" s="95">
        <f t="shared" si="798"/>
        <v>58800000</v>
      </c>
      <c r="P4042" s="55">
        <v>51462063</v>
      </c>
      <c r="Q4042" s="97">
        <v>44348</v>
      </c>
      <c r="R4042" s="14">
        <v>450000</v>
      </c>
      <c r="S4042" s="14">
        <v>576000</v>
      </c>
      <c r="U4042" s="3"/>
    </row>
    <row r="4043" spans="1:24" ht="15" hidden="1" x14ac:dyDescent="0.25">
      <c r="B4043" s="89">
        <v>44418.083333333336</v>
      </c>
      <c r="C4043" s="62" t="s">
        <v>3767</v>
      </c>
      <c r="D4043" s="55"/>
      <c r="E4043" s="91">
        <v>9000000</v>
      </c>
      <c r="F4043" s="61"/>
      <c r="G4043" s="93">
        <f t="shared" si="796"/>
        <v>9000000</v>
      </c>
      <c r="H4043" s="61"/>
      <c r="I4043" s="61">
        <v>494267.01</v>
      </c>
      <c r="J4043" s="61">
        <v>77028.84</v>
      </c>
      <c r="K4043" s="25">
        <f t="shared" si="797"/>
        <v>8428704.1500000004</v>
      </c>
      <c r="L4043" s="95">
        <f t="shared" si="798"/>
        <v>49800000</v>
      </c>
      <c r="P4043" s="84">
        <v>1070422877</v>
      </c>
      <c r="Q4043" s="124">
        <v>44378</v>
      </c>
      <c r="R4043" s="14">
        <v>450000</v>
      </c>
      <c r="S4043" s="14">
        <v>576000</v>
      </c>
      <c r="U4043" s="3">
        <f>+U4041*12.5%</f>
        <v>3360000</v>
      </c>
      <c r="V4043" s="173" t="s">
        <v>2769</v>
      </c>
      <c r="W4043" s="31">
        <v>9000000</v>
      </c>
      <c r="X4043" s="131">
        <f>+E4043-W4043</f>
        <v>0</v>
      </c>
    </row>
    <row r="4044" spans="1:24" ht="15" hidden="1" x14ac:dyDescent="0.25">
      <c r="B4044" s="89">
        <v>44441.083333333336</v>
      </c>
      <c r="C4044" s="62" t="s">
        <v>3768</v>
      </c>
      <c r="D4044" s="55"/>
      <c r="E4044" s="91">
        <v>9000000</v>
      </c>
      <c r="F4044" s="61"/>
      <c r="G4044" s="93">
        <f t="shared" si="796"/>
        <v>9000000</v>
      </c>
      <c r="H4044" s="61"/>
      <c r="I4044" s="61">
        <v>494267.01</v>
      </c>
      <c r="J4044" s="61">
        <v>77028.84</v>
      </c>
      <c r="K4044" s="25">
        <f t="shared" si="797"/>
        <v>8428704.1500000004</v>
      </c>
      <c r="L4044" s="95">
        <f t="shared" si="798"/>
        <v>40800000</v>
      </c>
      <c r="P4044" s="84">
        <v>52874222</v>
      </c>
      <c r="Q4044" s="124">
        <v>44409</v>
      </c>
      <c r="R4044" s="14">
        <v>450000</v>
      </c>
      <c r="S4044" s="14">
        <v>576000</v>
      </c>
      <c r="U4044" s="3">
        <f>+U4041*16%</f>
        <v>4300800</v>
      </c>
      <c r="V4044" s="172" t="s">
        <v>2771</v>
      </c>
      <c r="W4044" s="31"/>
      <c r="X4044" s="131"/>
    </row>
    <row r="4045" spans="1:24" ht="15" hidden="1" x14ac:dyDescent="0.25">
      <c r="B4045" s="89">
        <v>44474.083333333336</v>
      </c>
      <c r="C4045" s="62" t="s">
        <v>3769</v>
      </c>
      <c r="D4045" s="55"/>
      <c r="E4045" s="91">
        <v>9000000</v>
      </c>
      <c r="F4045" s="61"/>
      <c r="G4045" s="93">
        <f t="shared" si="796"/>
        <v>9000000</v>
      </c>
      <c r="H4045" s="61"/>
      <c r="I4045" s="61">
        <v>490991.01</v>
      </c>
      <c r="J4045" s="61">
        <v>77028.84</v>
      </c>
      <c r="K4045" s="25">
        <f t="shared" si="797"/>
        <v>8431980.1500000004</v>
      </c>
      <c r="L4045" s="95">
        <f t="shared" si="798"/>
        <v>31800000</v>
      </c>
      <c r="P4045" s="84">
        <v>53485345</v>
      </c>
      <c r="Q4045" s="124">
        <v>44440</v>
      </c>
      <c r="R4045" s="14">
        <v>530000</v>
      </c>
      <c r="S4045" s="14">
        <v>720800</v>
      </c>
      <c r="W4045" s="31"/>
      <c r="X4045" s="131"/>
    </row>
    <row r="4046" spans="1:24" ht="15" hidden="1" x14ac:dyDescent="0.25">
      <c r="B4046" s="89">
        <v>44509.125</v>
      </c>
      <c r="C4046" s="62" t="s">
        <v>3770</v>
      </c>
      <c r="D4046" s="55"/>
      <c r="E4046" s="91">
        <v>9000000</v>
      </c>
      <c r="F4046" s="61"/>
      <c r="G4046" s="93">
        <f t="shared" si="796"/>
        <v>9000000</v>
      </c>
      <c r="H4046" s="61"/>
      <c r="I4046" s="61">
        <v>494267.01</v>
      </c>
      <c r="J4046" s="61">
        <v>77028.84</v>
      </c>
      <c r="K4046" s="25">
        <f t="shared" si="797"/>
        <v>8428704.1500000004</v>
      </c>
      <c r="L4046" s="95">
        <f t="shared" si="798"/>
        <v>22800000</v>
      </c>
      <c r="P4046" s="84">
        <v>5421517</v>
      </c>
      <c r="Q4046" s="124">
        <v>44470</v>
      </c>
      <c r="R4046" s="14">
        <v>450000</v>
      </c>
      <c r="S4046" s="14">
        <v>576000</v>
      </c>
      <c r="W4046" s="31"/>
      <c r="X4046" s="131"/>
    </row>
    <row r="4047" spans="1:24" ht="15" hidden="1" x14ac:dyDescent="0.25">
      <c r="B4047" s="89">
        <v>44536.125</v>
      </c>
      <c r="C4047" s="62" t="s">
        <v>3771</v>
      </c>
      <c r="D4047" s="55"/>
      <c r="E4047" s="91">
        <v>9000000</v>
      </c>
      <c r="F4047" s="61"/>
      <c r="G4047" s="93">
        <f t="shared" si="796"/>
        <v>9000000</v>
      </c>
      <c r="H4047" s="61"/>
      <c r="I4047" s="61">
        <v>494267.01</v>
      </c>
      <c r="J4047" s="61">
        <v>77028.84</v>
      </c>
      <c r="K4047" s="25">
        <f t="shared" si="797"/>
        <v>8428704.1500000004</v>
      </c>
      <c r="L4047" s="95">
        <f>+L4046-G4047</f>
        <v>13800000</v>
      </c>
      <c r="P4047" s="84">
        <v>54831802</v>
      </c>
      <c r="Q4047" s="124">
        <v>44501</v>
      </c>
      <c r="R4047" s="14">
        <v>450000</v>
      </c>
      <c r="S4047" s="14">
        <v>576000</v>
      </c>
      <c r="W4047" s="31"/>
      <c r="X4047" s="131"/>
    </row>
    <row r="4048" spans="1:24" ht="15" hidden="1" x14ac:dyDescent="0.25">
      <c r="B4048" s="89">
        <v>44559.125</v>
      </c>
      <c r="C4048" s="62" t="s">
        <v>3772</v>
      </c>
      <c r="D4048" s="55"/>
      <c r="E4048" s="91">
        <v>9000000</v>
      </c>
      <c r="F4048" s="61"/>
      <c r="G4048" s="93">
        <f t="shared" si="796"/>
        <v>9000000</v>
      </c>
      <c r="H4048" s="61"/>
      <c r="I4048" s="61">
        <v>494267.01</v>
      </c>
      <c r="J4048" s="61">
        <v>77028.84</v>
      </c>
      <c r="K4048" s="25">
        <f t="shared" si="797"/>
        <v>8428704.1500000004</v>
      </c>
      <c r="L4048" s="95">
        <f>+L4047-G4048</f>
        <v>4800000</v>
      </c>
      <c r="P4048" s="84">
        <v>55340675</v>
      </c>
      <c r="Q4048" s="124">
        <v>44531</v>
      </c>
      <c r="R4048" s="14">
        <v>450000</v>
      </c>
      <c r="S4048" s="14">
        <v>576000</v>
      </c>
      <c r="W4048" s="31"/>
      <c r="X4048" s="131"/>
    </row>
    <row r="4049" spans="1:24" ht="15" hidden="1" x14ac:dyDescent="0.25">
      <c r="B4049" s="89"/>
      <c r="C4049" s="62"/>
      <c r="D4049" s="55"/>
      <c r="E4049" s="91"/>
      <c r="F4049" s="61"/>
      <c r="G4049" s="93"/>
      <c r="H4049" s="61"/>
      <c r="I4049" s="61"/>
      <c r="J4049" s="61"/>
      <c r="K4049" s="25"/>
      <c r="L4049" s="95"/>
      <c r="P4049" s="84"/>
      <c r="Q4049" s="124"/>
      <c r="R4049" s="178">
        <f>SUM(R4041:R4048)</f>
        <v>3440000</v>
      </c>
      <c r="S4049" s="177">
        <f>SUM(S4041:S4048)</f>
        <v>4445600</v>
      </c>
      <c r="W4049" s="31"/>
      <c r="X4049" s="131"/>
    </row>
    <row r="4050" spans="1:24" ht="15" hidden="1" x14ac:dyDescent="0.25">
      <c r="A4050" s="21">
        <v>4892021</v>
      </c>
      <c r="B4050" s="139" t="s">
        <v>3773</v>
      </c>
      <c r="C4050" s="140"/>
      <c r="D4050" s="141">
        <v>44833333</v>
      </c>
      <c r="E4050" s="141">
        <f>+D4050</f>
        <v>44833333</v>
      </c>
      <c r="F4050" s="141"/>
      <c r="G4050" s="141"/>
      <c r="H4050" s="141"/>
      <c r="I4050" s="141"/>
      <c r="J4050" s="141"/>
      <c r="K4050" s="141"/>
      <c r="L4050" s="141">
        <f>+D4050</f>
        <v>44833333</v>
      </c>
      <c r="O4050" s="149">
        <f>+VLOOKUP(A4050,'[1]ANEXO 7 - PPTO VIG 2021'!$H$8:$AB$160,21,)-L4061</f>
        <v>-8417167</v>
      </c>
      <c r="Q4050" s="98"/>
    </row>
    <row r="4051" spans="1:24" ht="15" hidden="1" x14ac:dyDescent="0.25">
      <c r="B4051" s="89">
        <v>44386.083333333336</v>
      </c>
      <c r="C4051" s="200" t="s">
        <v>3774</v>
      </c>
      <c r="E4051" s="91">
        <v>2666667</v>
      </c>
      <c r="G4051" s="93">
        <f>+E4051</f>
        <v>2666667</v>
      </c>
      <c r="J4051" s="138">
        <v>22823.360000000001</v>
      </c>
      <c r="K4051" s="25">
        <f t="shared" ref="K4051:K4061" si="799">+G4051-H4051-I4051-J4051</f>
        <v>2643843.64</v>
      </c>
      <c r="L4051" s="95">
        <f t="shared" ref="L4051:L4056" si="800">+L4050-G4051</f>
        <v>42166666</v>
      </c>
      <c r="P4051" s="55" t="s">
        <v>3775</v>
      </c>
      <c r="Q4051" s="97">
        <v>44348</v>
      </c>
      <c r="R4051" s="14">
        <f>8400+125000</f>
        <v>133400</v>
      </c>
      <c r="S4051" s="14">
        <f>10700+160000</f>
        <v>170700</v>
      </c>
      <c r="T4051" s="3">
        <f>+L4050-2166666-10000000</f>
        <v>32666667</v>
      </c>
      <c r="U4051" s="3">
        <f>+T4051*40%</f>
        <v>13066666.800000001</v>
      </c>
    </row>
    <row r="4052" spans="1:24" ht="15" hidden="1" x14ac:dyDescent="0.25">
      <c r="B4052" s="89">
        <v>44420.083333333336</v>
      </c>
      <c r="C4052" s="200" t="s">
        <v>3776</v>
      </c>
      <c r="E4052" s="91">
        <v>5000000</v>
      </c>
      <c r="G4052" s="93">
        <f t="shared" ref="G4052:G4058" si="801">+E4052</f>
        <v>5000000</v>
      </c>
      <c r="J4052" s="138">
        <v>42793.8</v>
      </c>
      <c r="K4052" s="25">
        <f t="shared" si="799"/>
        <v>4957206.2</v>
      </c>
      <c r="L4052" s="95">
        <f t="shared" si="800"/>
        <v>37166666</v>
      </c>
      <c r="P4052" s="84">
        <v>9423032301</v>
      </c>
      <c r="Q4052" s="97">
        <v>44378</v>
      </c>
      <c r="R4052" s="125">
        <v>250000</v>
      </c>
      <c r="S4052" s="125">
        <v>320000</v>
      </c>
      <c r="U4052" s="3"/>
      <c r="W4052" s="31">
        <v>5000000</v>
      </c>
      <c r="X4052" s="131">
        <f>+E4052-W4052</f>
        <v>0</v>
      </c>
    </row>
    <row r="4053" spans="1:24" ht="15" hidden="1" x14ac:dyDescent="0.25">
      <c r="B4053" s="89">
        <v>44428.083333333336</v>
      </c>
      <c r="C4053" s="200" t="s">
        <v>3777</v>
      </c>
      <c r="E4053" s="91">
        <v>1057469</v>
      </c>
      <c r="G4053" s="93">
        <f t="shared" si="801"/>
        <v>1057469</v>
      </c>
      <c r="I4053" s="138">
        <v>38789.760000000002</v>
      </c>
      <c r="J4053" s="138">
        <v>6979.3</v>
      </c>
      <c r="K4053" s="25">
        <f t="shared" si="799"/>
        <v>1011699.94</v>
      </c>
      <c r="L4053" s="95">
        <f t="shared" si="800"/>
        <v>36109197</v>
      </c>
      <c r="P4053" s="84"/>
      <c r="Q4053" s="124"/>
      <c r="R4053" s="125">
        <v>0</v>
      </c>
      <c r="S4053" s="125">
        <v>0</v>
      </c>
      <c r="U4053" s="3">
        <f>+U4051*12.5%</f>
        <v>1633333.35</v>
      </c>
      <c r="V4053" s="173" t="s">
        <v>2769</v>
      </c>
      <c r="W4053" s="31">
        <v>1057469</v>
      </c>
      <c r="X4053" s="131">
        <f>+E4053-W4053</f>
        <v>0</v>
      </c>
    </row>
    <row r="4054" spans="1:24" ht="15" hidden="1" x14ac:dyDescent="0.25">
      <c r="B4054" s="89">
        <v>44445.083333333336</v>
      </c>
      <c r="C4054" s="200" t="s">
        <v>3778</v>
      </c>
      <c r="E4054" s="91">
        <v>5000000</v>
      </c>
      <c r="G4054" s="93">
        <f t="shared" si="801"/>
        <v>5000000</v>
      </c>
      <c r="J4054" s="138">
        <v>42793.8</v>
      </c>
      <c r="K4054" s="25">
        <f t="shared" si="799"/>
        <v>4957206.2</v>
      </c>
      <c r="L4054" s="95">
        <f t="shared" si="800"/>
        <v>31109197</v>
      </c>
      <c r="P4054" s="84">
        <v>9423675775</v>
      </c>
      <c r="Q4054" s="97">
        <v>44409</v>
      </c>
      <c r="R4054" s="125">
        <v>250000</v>
      </c>
      <c r="S4054" s="125">
        <v>320000</v>
      </c>
      <c r="U4054" s="3">
        <f>+U4051*16%</f>
        <v>2090666.6880000001</v>
      </c>
      <c r="V4054" s="172" t="s">
        <v>2771</v>
      </c>
      <c r="W4054" s="31"/>
      <c r="X4054" s="131"/>
    </row>
    <row r="4055" spans="1:24" ht="15" hidden="1" x14ac:dyDescent="0.25">
      <c r="B4055" s="89">
        <v>44461.083333333336</v>
      </c>
      <c r="C4055" s="200" t="s">
        <v>3779</v>
      </c>
      <c r="E4055" s="91">
        <v>1131820</v>
      </c>
      <c r="G4055" s="93">
        <f t="shared" si="801"/>
        <v>1131820</v>
      </c>
      <c r="I4055" s="138">
        <v>64453.71</v>
      </c>
      <c r="J4055" s="138">
        <v>8398.1</v>
      </c>
      <c r="K4055" s="25">
        <f t="shared" si="799"/>
        <v>1058968.19</v>
      </c>
      <c r="L4055" s="95">
        <f t="shared" si="800"/>
        <v>29977377</v>
      </c>
      <c r="P4055" s="84"/>
      <c r="Q4055" s="124"/>
      <c r="R4055" s="125">
        <v>0</v>
      </c>
      <c r="S4055" s="125">
        <v>0</v>
      </c>
      <c r="W4055" s="31"/>
      <c r="X4055" s="131"/>
    </row>
    <row r="4056" spans="1:24" ht="15" hidden="1" x14ac:dyDescent="0.25">
      <c r="B4056" s="89">
        <v>44484.083333333336</v>
      </c>
      <c r="C4056" s="200" t="s">
        <v>3780</v>
      </c>
      <c r="E4056" s="91">
        <v>5000000</v>
      </c>
      <c r="G4056" s="93">
        <f t="shared" si="801"/>
        <v>5000000</v>
      </c>
      <c r="J4056" s="138">
        <v>42793.8</v>
      </c>
      <c r="K4056" s="25">
        <f t="shared" si="799"/>
        <v>4957206.2</v>
      </c>
      <c r="L4056" s="95">
        <f t="shared" si="800"/>
        <v>24977377</v>
      </c>
      <c r="P4056" s="84">
        <v>9424938044</v>
      </c>
      <c r="Q4056" s="124">
        <v>44440</v>
      </c>
      <c r="R4056" s="125">
        <v>250000</v>
      </c>
      <c r="S4056" s="125">
        <v>320000</v>
      </c>
      <c r="W4056" s="31"/>
      <c r="X4056" s="131"/>
    </row>
    <row r="4057" spans="1:24" ht="15" hidden="1" x14ac:dyDescent="0.25">
      <c r="B4057" s="89">
        <v>44516.125</v>
      </c>
      <c r="C4057" s="200" t="s">
        <v>3781</v>
      </c>
      <c r="E4057" s="91">
        <v>888050</v>
      </c>
      <c r="G4057" s="93">
        <f t="shared" si="801"/>
        <v>888050</v>
      </c>
      <c r="J4057" s="138">
        <v>4440.25</v>
      </c>
      <c r="K4057" s="25">
        <f t="shared" si="799"/>
        <v>883609.75</v>
      </c>
      <c r="L4057" s="95">
        <f>+L4056-G4057</f>
        <v>24089327</v>
      </c>
      <c r="P4057" s="84"/>
      <c r="Q4057" s="124"/>
      <c r="R4057" s="125">
        <v>0</v>
      </c>
      <c r="S4057" s="125">
        <v>0</v>
      </c>
      <c r="W4057" s="31"/>
      <c r="X4057" s="131"/>
    </row>
    <row r="4058" spans="1:24" ht="15" hidden="1" x14ac:dyDescent="0.25">
      <c r="B4058" s="89">
        <v>44524.125</v>
      </c>
      <c r="C4058" s="200" t="s">
        <v>3782</v>
      </c>
      <c r="E4058" s="91">
        <v>5000000</v>
      </c>
      <c r="G4058" s="93">
        <f t="shared" si="801"/>
        <v>5000000</v>
      </c>
      <c r="J4058" s="138">
        <v>42793.8</v>
      </c>
      <c r="K4058" s="25">
        <f t="shared" si="799"/>
        <v>4957206.2</v>
      </c>
      <c r="L4058" s="95">
        <f>+L4057-G4058</f>
        <v>19089327</v>
      </c>
      <c r="P4058" s="84">
        <v>9426317890</v>
      </c>
      <c r="Q4058" s="124">
        <v>44470</v>
      </c>
      <c r="R4058" s="125">
        <v>250000</v>
      </c>
      <c r="S4058" s="125">
        <v>320000</v>
      </c>
      <c r="W4058" s="31"/>
      <c r="X4058" s="131"/>
    </row>
    <row r="4059" spans="1:24" ht="15" hidden="1" x14ac:dyDescent="0.25">
      <c r="B4059" s="89">
        <v>44557.125</v>
      </c>
      <c r="C4059" s="200" t="s">
        <v>3783</v>
      </c>
      <c r="E4059" s="91">
        <v>5000000</v>
      </c>
      <c r="G4059" s="93">
        <f>+E4059</f>
        <v>5000000</v>
      </c>
      <c r="J4059" s="138">
        <v>42793.8</v>
      </c>
      <c r="K4059" s="25">
        <f t="shared" si="799"/>
        <v>4957206.2</v>
      </c>
      <c r="L4059" s="95">
        <f>+L4058-G4059</f>
        <v>14089327</v>
      </c>
      <c r="P4059" s="84">
        <v>9427793573</v>
      </c>
      <c r="Q4059" s="124">
        <v>44501</v>
      </c>
      <c r="R4059" s="125">
        <v>250000</v>
      </c>
      <c r="S4059" s="125">
        <v>320000</v>
      </c>
      <c r="W4059" s="31"/>
      <c r="X4059" s="131"/>
    </row>
    <row r="4060" spans="1:24" ht="15" hidden="1" x14ac:dyDescent="0.25">
      <c r="B4060" s="89">
        <v>44559.125</v>
      </c>
      <c r="C4060" s="200" t="s">
        <v>3784</v>
      </c>
      <c r="E4060" s="91">
        <v>5000000</v>
      </c>
      <c r="G4060" s="93">
        <f>+E4060</f>
        <v>5000000</v>
      </c>
      <c r="J4060" s="138">
        <v>42793.8</v>
      </c>
      <c r="K4060" s="25">
        <f t="shared" si="799"/>
        <v>4957206.2</v>
      </c>
      <c r="L4060" s="95">
        <f>+L4059-G4060</f>
        <v>9089327</v>
      </c>
      <c r="P4060" s="84">
        <v>9428232101</v>
      </c>
      <c r="Q4060" s="124">
        <v>44531</v>
      </c>
      <c r="R4060" s="125">
        <v>250000</v>
      </c>
      <c r="S4060" s="125">
        <v>320000</v>
      </c>
      <c r="W4060" s="31"/>
      <c r="X4060" s="131"/>
    </row>
    <row r="4061" spans="1:24" ht="15" hidden="1" x14ac:dyDescent="0.25">
      <c r="B4061" s="89">
        <v>44564.125</v>
      </c>
      <c r="C4061" s="200" t="s">
        <v>3785</v>
      </c>
      <c r="E4061" s="91">
        <v>672160</v>
      </c>
      <c r="G4061" s="93">
        <f>+E4061</f>
        <v>672160</v>
      </c>
      <c r="I4061" s="138">
        <v>0</v>
      </c>
      <c r="J4061" s="138">
        <v>2688.64</v>
      </c>
      <c r="K4061" s="25">
        <f t="shared" si="799"/>
        <v>669471.36</v>
      </c>
      <c r="L4061" s="95">
        <f>+L4060-G4061</f>
        <v>8417167</v>
      </c>
      <c r="P4061" s="84"/>
      <c r="Q4061" s="124"/>
      <c r="R4061" s="178">
        <f>SUM(R4051:R4060)</f>
        <v>1633400</v>
      </c>
      <c r="S4061" s="177">
        <f>SUM(S4051:S4060)</f>
        <v>2090700</v>
      </c>
      <c r="W4061" s="31"/>
      <c r="X4061" s="131"/>
    </row>
    <row r="4062" spans="1:24" ht="15" hidden="1" x14ac:dyDescent="0.25">
      <c r="A4062" s="21">
        <v>4922021</v>
      </c>
      <c r="B4062" s="139" t="s">
        <v>3786</v>
      </c>
      <c r="C4062" s="140"/>
      <c r="D4062" s="141">
        <v>53062240</v>
      </c>
      <c r="E4062" s="141">
        <f>+D4062</f>
        <v>53062240</v>
      </c>
      <c r="F4062" s="141"/>
      <c r="G4062" s="141"/>
      <c r="H4062" s="141"/>
      <c r="I4062" s="141"/>
      <c r="J4062" s="141"/>
      <c r="K4062" s="141"/>
      <c r="L4062" s="141">
        <f>+D4062</f>
        <v>53062240</v>
      </c>
      <c r="O4062" s="149">
        <f>+VLOOKUP(A4062,'[1]ANEXO 7 - PPTO VIG 2021'!$H$8:$AB$160,21,)-L4072</f>
        <v>-5614399</v>
      </c>
    </row>
    <row r="4063" spans="1:24" ht="15" hidden="1" x14ac:dyDescent="0.25">
      <c r="B4063" s="89">
        <v>44400.083333333336</v>
      </c>
      <c r="C4063" s="200" t="s">
        <v>3787</v>
      </c>
      <c r="E4063" s="138">
        <v>4284800</v>
      </c>
      <c r="G4063" s="93">
        <f t="shared" ref="G4063:G4072" si="802">+E4063</f>
        <v>4284800</v>
      </c>
      <c r="I4063" s="138">
        <v>0</v>
      </c>
      <c r="J4063" s="138">
        <v>41391.17</v>
      </c>
      <c r="K4063" s="25">
        <f t="shared" ref="K4063:K4072" si="803">+G4063-H4063-I4063-J4063</f>
        <v>4243408.83</v>
      </c>
      <c r="L4063" s="95">
        <f t="shared" ref="L4063:L4068" si="804">+L4062-G4063</f>
        <v>48777440</v>
      </c>
      <c r="P4063" s="21" t="s">
        <v>3788</v>
      </c>
    </row>
    <row r="4064" spans="1:24" ht="15" hidden="1" x14ac:dyDescent="0.25">
      <c r="B4064" s="89">
        <v>44411.083333333336</v>
      </c>
      <c r="C4064" s="200" t="s">
        <v>3789</v>
      </c>
      <c r="E4064" s="63">
        <v>6427200</v>
      </c>
      <c r="G4064" s="93">
        <f t="shared" si="802"/>
        <v>6427200</v>
      </c>
      <c r="I4064" s="138">
        <v>212799.05</v>
      </c>
      <c r="J4064" s="138">
        <v>58982.41</v>
      </c>
      <c r="K4064" s="25">
        <f t="shared" si="803"/>
        <v>6155418.54</v>
      </c>
      <c r="L4064" s="95">
        <f t="shared" si="804"/>
        <v>42350240</v>
      </c>
      <c r="P4064" s="21">
        <v>9422673124</v>
      </c>
      <c r="Q4064" s="97">
        <v>44348</v>
      </c>
      <c r="R4064" s="3">
        <v>214300</v>
      </c>
      <c r="S4064" s="3">
        <f>43062240-214240</f>
        <v>42848000</v>
      </c>
      <c r="T4064" s="3">
        <f>+S4064*40%</f>
        <v>17139200</v>
      </c>
      <c r="U4064" s="197">
        <v>40</v>
      </c>
      <c r="W4064" s="31" t="e">
        <v>#N/A</v>
      </c>
      <c r="X4064" s="131" t="e">
        <f>+E4064-W4064</f>
        <v>#N/A</v>
      </c>
    </row>
    <row r="4065" spans="1:24" ht="15" hidden="1" x14ac:dyDescent="0.25">
      <c r="B4065" s="89">
        <v>44434.083333333336</v>
      </c>
      <c r="C4065" s="200" t="s">
        <v>3790</v>
      </c>
      <c r="E4065" s="63">
        <v>1832401</v>
      </c>
      <c r="G4065" s="93">
        <f t="shared" si="802"/>
        <v>1832401</v>
      </c>
      <c r="J4065" s="138">
        <v>12826.81</v>
      </c>
      <c r="K4065" s="25">
        <f t="shared" si="803"/>
        <v>1819574.19</v>
      </c>
      <c r="L4065" s="95">
        <f t="shared" si="804"/>
        <v>40517839</v>
      </c>
      <c r="P4065" s="21">
        <v>9422797528</v>
      </c>
      <c r="Q4065" s="97">
        <v>44348</v>
      </c>
      <c r="R4065" s="3">
        <v>107100</v>
      </c>
      <c r="W4065" s="31">
        <v>1832401</v>
      </c>
      <c r="X4065" s="131">
        <f>+E4065-W4065</f>
        <v>0</v>
      </c>
    </row>
    <row r="4066" spans="1:24" ht="15" hidden="1" x14ac:dyDescent="0.25">
      <c r="B4066" s="89">
        <v>44449.083333333336</v>
      </c>
      <c r="C4066" s="200" t="s">
        <v>3791</v>
      </c>
      <c r="E4066" s="63">
        <v>6427200</v>
      </c>
      <c r="G4066" s="93">
        <f t="shared" si="802"/>
        <v>6427200</v>
      </c>
      <c r="I4066" s="138">
        <v>212799.05</v>
      </c>
      <c r="J4066" s="138">
        <v>58982.41</v>
      </c>
      <c r="K4066" s="25">
        <f t="shared" si="803"/>
        <v>6155418.54</v>
      </c>
      <c r="L4066" s="95">
        <f t="shared" si="804"/>
        <v>34090639</v>
      </c>
      <c r="P4066" s="21">
        <v>9422797527</v>
      </c>
      <c r="Q4066" s="97">
        <v>44378</v>
      </c>
      <c r="R4066" s="3">
        <v>321400</v>
      </c>
      <c r="T4066" s="99">
        <f>+T4064*12.5%</f>
        <v>2142400</v>
      </c>
      <c r="U4066" s="21" t="s">
        <v>2769</v>
      </c>
      <c r="W4066" s="31"/>
      <c r="X4066" s="131"/>
    </row>
    <row r="4067" spans="1:24" ht="15" hidden="1" x14ac:dyDescent="0.25">
      <c r="B4067" s="89">
        <v>44474.083333333336</v>
      </c>
      <c r="C4067" s="200" t="s">
        <v>3792</v>
      </c>
      <c r="E4067" s="63">
        <v>6427200</v>
      </c>
      <c r="G4067" s="93">
        <f t="shared" si="802"/>
        <v>6427200</v>
      </c>
      <c r="I4067" s="138">
        <v>212799.05</v>
      </c>
      <c r="J4067" s="138">
        <v>58982.41</v>
      </c>
      <c r="K4067" s="25">
        <f t="shared" si="803"/>
        <v>6155418.54</v>
      </c>
      <c r="L4067" s="95">
        <f t="shared" si="804"/>
        <v>27663439</v>
      </c>
      <c r="P4067" s="21">
        <v>9423596868</v>
      </c>
      <c r="Q4067" s="97">
        <v>44409</v>
      </c>
      <c r="R4067" s="3">
        <v>321400</v>
      </c>
      <c r="W4067" s="31"/>
      <c r="X4067" s="131"/>
    </row>
    <row r="4068" spans="1:24" ht="15" hidden="1" x14ac:dyDescent="0.25">
      <c r="B4068" s="89">
        <v>44508.125</v>
      </c>
      <c r="C4068" s="200" t="s">
        <v>3793</v>
      </c>
      <c r="E4068" s="63">
        <v>6427200</v>
      </c>
      <c r="G4068" s="93">
        <f t="shared" si="802"/>
        <v>6427200</v>
      </c>
      <c r="I4068" s="138">
        <v>212799.05</v>
      </c>
      <c r="J4068" s="138">
        <v>58982.41</v>
      </c>
      <c r="K4068" s="25">
        <f t="shared" si="803"/>
        <v>6155418.54</v>
      </c>
      <c r="L4068" s="95">
        <f t="shared" si="804"/>
        <v>21236239</v>
      </c>
      <c r="P4068" s="21">
        <v>9424795747</v>
      </c>
      <c r="Q4068" s="97">
        <v>44440</v>
      </c>
      <c r="R4068" s="3">
        <v>321400</v>
      </c>
      <c r="W4068" s="31"/>
      <c r="X4068" s="131"/>
    </row>
    <row r="4069" spans="1:24" ht="15" hidden="1" x14ac:dyDescent="0.25">
      <c r="B4069" s="89">
        <v>44517.125</v>
      </c>
      <c r="C4069" s="200" t="s">
        <v>3794</v>
      </c>
      <c r="E4069" s="63">
        <v>1706885</v>
      </c>
      <c r="G4069" s="93">
        <f t="shared" si="802"/>
        <v>1706885</v>
      </c>
      <c r="I4069" s="138">
        <v>263182.21000000002</v>
      </c>
      <c r="J4069" s="138">
        <v>8534.43</v>
      </c>
      <c r="K4069" s="25">
        <f t="shared" si="803"/>
        <v>1435168.36</v>
      </c>
      <c r="L4069" s="95">
        <f>+L4068-G4069</f>
        <v>19529354</v>
      </c>
      <c r="Q4069" s="124"/>
      <c r="R4069" s="3">
        <v>0</v>
      </c>
      <c r="W4069" s="31"/>
      <c r="X4069" s="131"/>
    </row>
    <row r="4070" spans="1:24" ht="15" hidden="1" x14ac:dyDescent="0.25">
      <c r="B4070" s="89">
        <v>44543.125</v>
      </c>
      <c r="C4070" s="200" t="s">
        <v>3795</v>
      </c>
      <c r="E4070" s="63">
        <v>6427200</v>
      </c>
      <c r="G4070" s="93">
        <f t="shared" si="802"/>
        <v>6427200</v>
      </c>
      <c r="I4070" s="138">
        <v>212799.05</v>
      </c>
      <c r="J4070" s="138">
        <v>58982.41</v>
      </c>
      <c r="K4070" s="25">
        <f t="shared" si="803"/>
        <v>6155418.54</v>
      </c>
      <c r="L4070" s="95">
        <f>+L4069-G4070</f>
        <v>13102154</v>
      </c>
      <c r="P4070" s="21">
        <v>9426002238</v>
      </c>
      <c r="Q4070" s="97">
        <v>44470</v>
      </c>
      <c r="R4070" s="3">
        <v>321400</v>
      </c>
      <c r="W4070" s="31"/>
      <c r="X4070" s="131"/>
    </row>
    <row r="4071" spans="1:24" ht="15" hidden="1" x14ac:dyDescent="0.25">
      <c r="B4071" s="89">
        <v>44544.125</v>
      </c>
      <c r="C4071" s="200" t="s">
        <v>3796</v>
      </c>
      <c r="E4071" s="63">
        <v>1060555</v>
      </c>
      <c r="G4071" s="93">
        <f t="shared" si="802"/>
        <v>1060555</v>
      </c>
      <c r="I4071" s="138">
        <v>151129.10999999999</v>
      </c>
      <c r="J4071" s="138">
        <v>5833.05</v>
      </c>
      <c r="K4071" s="25">
        <f t="shared" si="803"/>
        <v>903592.84</v>
      </c>
      <c r="L4071" s="95">
        <f>+L4070-G4071</f>
        <v>12041599</v>
      </c>
      <c r="P4071" s="21">
        <v>9428276143</v>
      </c>
      <c r="Q4071" s="97">
        <v>44501</v>
      </c>
      <c r="R4071" s="3">
        <v>321400</v>
      </c>
      <c r="W4071" s="31"/>
      <c r="X4071" s="131"/>
    </row>
    <row r="4072" spans="1:24" ht="15" hidden="1" x14ac:dyDescent="0.25">
      <c r="B4072" s="89">
        <v>44558.125</v>
      </c>
      <c r="C4072" s="200" t="s">
        <v>3797</v>
      </c>
      <c r="E4072" s="63">
        <v>6427200</v>
      </c>
      <c r="G4072" s="93">
        <f t="shared" si="802"/>
        <v>6427200</v>
      </c>
      <c r="I4072" s="138">
        <v>212799.05</v>
      </c>
      <c r="J4072" s="138">
        <v>58982.41</v>
      </c>
      <c r="K4072" s="25">
        <f t="shared" si="803"/>
        <v>6155418.54</v>
      </c>
      <c r="L4072" s="95">
        <f>+L4071-G4072</f>
        <v>5614399</v>
      </c>
      <c r="P4072" s="21">
        <v>9428276479</v>
      </c>
      <c r="Q4072" s="97">
        <v>44531</v>
      </c>
      <c r="R4072" s="3">
        <v>321400</v>
      </c>
      <c r="W4072" s="31"/>
      <c r="X4072" s="131"/>
    </row>
    <row r="4073" spans="1:24" ht="15" hidden="1" x14ac:dyDescent="0.25">
      <c r="B4073" s="89"/>
      <c r="E4073" s="63"/>
      <c r="G4073" s="93"/>
      <c r="K4073" s="25"/>
      <c r="L4073" s="95"/>
      <c r="Q4073" s="124"/>
      <c r="R4073" s="99">
        <f>SUM(R4064:R4072)</f>
        <v>2249800</v>
      </c>
      <c r="W4073" s="31"/>
      <c r="X4073" s="131"/>
    </row>
    <row r="4074" spans="1:24" ht="15" hidden="1" x14ac:dyDescent="0.25">
      <c r="A4074" s="21">
        <v>490</v>
      </c>
      <c r="B4074" s="139" t="s">
        <v>3798</v>
      </c>
      <c r="C4074" s="140"/>
      <c r="D4074" s="141">
        <v>45000000</v>
      </c>
      <c r="E4074" s="141">
        <f>+D4074</f>
        <v>45000000</v>
      </c>
      <c r="F4074" s="141"/>
      <c r="G4074" s="141"/>
      <c r="H4074" s="141"/>
      <c r="I4074" s="141"/>
      <c r="J4074" s="141"/>
      <c r="K4074" s="141"/>
      <c r="L4074" s="141">
        <f>+D4074</f>
        <v>45000000</v>
      </c>
      <c r="O4074" s="149">
        <f>+VLOOKUP(A4074,'[1]ANEXO 7 - PPTO VIG 2021'!$H$8:$AB$160,21,)-L4088</f>
        <v>-4615863</v>
      </c>
    </row>
    <row r="4075" spans="1:24" ht="15" hidden="1" x14ac:dyDescent="0.25">
      <c r="B4075" s="89">
        <v>44390.083333333336</v>
      </c>
      <c r="C4075" s="200" t="s">
        <v>3799</v>
      </c>
      <c r="E4075" s="91">
        <v>3833333</v>
      </c>
      <c r="G4075" s="93">
        <f>+E4075</f>
        <v>3833333</v>
      </c>
      <c r="I4075" s="138">
        <v>0</v>
      </c>
      <c r="J4075" s="138">
        <v>32808.58</v>
      </c>
      <c r="K4075" s="25">
        <f>+G4075-H4075-I4075-J4075</f>
        <v>3800524.42</v>
      </c>
      <c r="L4075" s="95">
        <f>+L4074-G4075</f>
        <v>41166667</v>
      </c>
      <c r="P4075" s="55">
        <v>8351264963</v>
      </c>
      <c r="Q4075" s="97">
        <v>44317</v>
      </c>
      <c r="R4075" s="14">
        <v>113600</v>
      </c>
      <c r="S4075" s="14">
        <v>145400</v>
      </c>
      <c r="T4075" s="3">
        <f>+L4074-10000000-1166667</f>
        <v>33833333</v>
      </c>
      <c r="U4075" s="3">
        <f>+T4075*40%</f>
        <v>13533333.200000001</v>
      </c>
    </row>
    <row r="4076" spans="1:24" ht="15" hidden="1" x14ac:dyDescent="0.25">
      <c r="B4076" s="89"/>
      <c r="E4076" s="91">
        <v>0</v>
      </c>
      <c r="G4076" s="93">
        <v>0</v>
      </c>
      <c r="I4076" s="138">
        <v>0</v>
      </c>
      <c r="J4076" s="138">
        <v>0</v>
      </c>
      <c r="K4076" s="25">
        <v>0</v>
      </c>
      <c r="L4076" s="95"/>
      <c r="P4076" s="84">
        <v>51685488</v>
      </c>
      <c r="Q4076" s="97">
        <v>44317</v>
      </c>
      <c r="R4076" s="14">
        <v>86400</v>
      </c>
      <c r="S4076" s="14">
        <v>110600</v>
      </c>
      <c r="U4076" s="3"/>
    </row>
    <row r="4077" spans="1:24" ht="15" hidden="1" x14ac:dyDescent="0.25">
      <c r="B4077" s="89">
        <v>44420.083333333336</v>
      </c>
      <c r="C4077" s="200" t="s">
        <v>3800</v>
      </c>
      <c r="E4077" s="91">
        <v>5000000</v>
      </c>
      <c r="G4077" s="93">
        <f t="shared" ref="G4077:G4088" si="805">+E4077</f>
        <v>5000000</v>
      </c>
      <c r="J4077" s="138">
        <v>42793.8</v>
      </c>
      <c r="K4077" s="25">
        <f t="shared" ref="K4077:K4088" si="806">+G4077-H4077-I4077-J4077</f>
        <v>4957206.2</v>
      </c>
      <c r="L4077" s="95">
        <f>+L4075-G4077</f>
        <v>36166667</v>
      </c>
      <c r="P4077" s="84">
        <v>51957607</v>
      </c>
      <c r="Q4077" s="124">
        <v>44348</v>
      </c>
      <c r="R4077" s="125">
        <v>250000</v>
      </c>
      <c r="S4077" s="125">
        <v>320000</v>
      </c>
      <c r="U4077" s="3"/>
      <c r="W4077" s="31">
        <v>5000000</v>
      </c>
      <c r="X4077" s="131">
        <f>+E4077-W4077</f>
        <v>0</v>
      </c>
    </row>
    <row r="4078" spans="1:24" ht="15" hidden="1" x14ac:dyDescent="0.25">
      <c r="B4078" s="89">
        <v>44441.083333333336</v>
      </c>
      <c r="C4078" s="200" t="s">
        <v>3801</v>
      </c>
      <c r="E4078" s="91">
        <v>5000000</v>
      </c>
      <c r="G4078" s="93">
        <f t="shared" si="805"/>
        <v>5000000</v>
      </c>
      <c r="J4078" s="138">
        <v>42793.8</v>
      </c>
      <c r="K4078" s="25">
        <f t="shared" si="806"/>
        <v>4957206.2</v>
      </c>
      <c r="L4078" s="95">
        <f t="shared" ref="L4078:L4088" si="807">+L4077-G4078</f>
        <v>31166667</v>
      </c>
      <c r="P4078" s="84">
        <v>52674277</v>
      </c>
      <c r="Q4078" s="124">
        <v>44378</v>
      </c>
      <c r="R4078" s="125">
        <v>250000</v>
      </c>
      <c r="S4078" s="125">
        <v>320000</v>
      </c>
      <c r="U4078" s="3">
        <f>+U4075*12.5%</f>
        <v>1691666.6500000001</v>
      </c>
      <c r="V4078" s="173" t="s">
        <v>2769</v>
      </c>
      <c r="W4078" s="31"/>
      <c r="X4078" s="131"/>
    </row>
    <row r="4079" spans="1:24" ht="15" hidden="1" x14ac:dyDescent="0.25">
      <c r="B4079" s="89">
        <v>44462.083333333336</v>
      </c>
      <c r="C4079" s="200" t="s">
        <v>3802</v>
      </c>
      <c r="E4079" s="91">
        <v>3459310</v>
      </c>
      <c r="G4079" s="93">
        <f t="shared" si="805"/>
        <v>3459310</v>
      </c>
      <c r="I4079" s="138">
        <v>492694.11</v>
      </c>
      <c r="J4079" s="138">
        <v>22552.440000000002</v>
      </c>
      <c r="K4079" s="25">
        <f t="shared" si="806"/>
        <v>2944063.45</v>
      </c>
      <c r="L4079" s="95">
        <f t="shared" si="807"/>
        <v>27707357</v>
      </c>
      <c r="P4079" s="84"/>
      <c r="Q4079" s="124"/>
      <c r="R4079" s="125">
        <v>0</v>
      </c>
      <c r="S4079" s="125">
        <v>0</v>
      </c>
      <c r="U4079" s="3">
        <f>+U4075*16%</f>
        <v>2165333.3120000004</v>
      </c>
      <c r="V4079" s="172" t="s">
        <v>2771</v>
      </c>
      <c r="W4079" s="31"/>
      <c r="X4079" s="131"/>
    </row>
    <row r="4080" spans="1:24" ht="15" hidden="1" x14ac:dyDescent="0.25">
      <c r="B4080" s="89">
        <v>44480.083333333336</v>
      </c>
      <c r="C4080" s="200" t="s">
        <v>3803</v>
      </c>
      <c r="E4080" s="91">
        <v>5000000</v>
      </c>
      <c r="G4080" s="93">
        <f t="shared" si="805"/>
        <v>5000000</v>
      </c>
      <c r="J4080" s="138">
        <v>42793.8</v>
      </c>
      <c r="K4080" s="25">
        <f t="shared" si="806"/>
        <v>4957206.2</v>
      </c>
      <c r="L4080" s="95">
        <f t="shared" si="807"/>
        <v>22707357</v>
      </c>
      <c r="P4080" s="84">
        <v>53330462</v>
      </c>
      <c r="Q4080" s="124">
        <v>44409</v>
      </c>
      <c r="R4080" s="125">
        <v>250000</v>
      </c>
      <c r="S4080" s="125">
        <v>320000</v>
      </c>
      <c r="W4080" s="31"/>
      <c r="X4080" s="131"/>
    </row>
    <row r="4081" spans="1:24" ht="15" hidden="1" x14ac:dyDescent="0.25">
      <c r="B4081" s="89">
        <v>44490.083333333336</v>
      </c>
      <c r="C4081" s="200" t="s">
        <v>3804</v>
      </c>
      <c r="E4081" s="91">
        <v>100700</v>
      </c>
      <c r="G4081" s="93">
        <f t="shared" si="805"/>
        <v>100700</v>
      </c>
      <c r="J4081" s="138">
        <v>201.4</v>
      </c>
      <c r="K4081" s="25">
        <f t="shared" si="806"/>
        <v>100498.6</v>
      </c>
      <c r="L4081" s="95">
        <f t="shared" si="807"/>
        <v>22606657</v>
      </c>
      <c r="P4081" s="84"/>
      <c r="Q4081" s="124"/>
      <c r="R4081" s="125">
        <v>0</v>
      </c>
      <c r="S4081" s="125">
        <v>0</v>
      </c>
      <c r="U4081" s="179">
        <f>+U4078-R4087</f>
        <v>-258333.34999999986</v>
      </c>
      <c r="W4081" s="31"/>
      <c r="X4081" s="131"/>
    </row>
    <row r="4082" spans="1:24" ht="15" hidden="1" x14ac:dyDescent="0.25">
      <c r="B4082" s="89">
        <v>44491.083333333336</v>
      </c>
      <c r="C4082" s="200" t="s">
        <v>3805</v>
      </c>
      <c r="E4082" s="91">
        <v>987264</v>
      </c>
      <c r="G4082" s="93">
        <f t="shared" si="805"/>
        <v>987264</v>
      </c>
      <c r="J4082" s="138">
        <v>1974.53</v>
      </c>
      <c r="K4082" s="25">
        <f t="shared" si="806"/>
        <v>985289.47</v>
      </c>
      <c r="L4082" s="95">
        <f t="shared" si="807"/>
        <v>21619393</v>
      </c>
      <c r="P4082" s="84"/>
      <c r="Q4082" s="124"/>
      <c r="R4082" s="125">
        <v>0</v>
      </c>
      <c r="S4082" s="125">
        <v>0</v>
      </c>
      <c r="U4082" s="179">
        <f>+U4079-S4087</f>
        <v>-330666.68799999962</v>
      </c>
      <c r="W4082" s="31"/>
      <c r="X4082" s="131"/>
    </row>
    <row r="4083" spans="1:24" ht="15" hidden="1" x14ac:dyDescent="0.25">
      <c r="B4083" s="89">
        <v>44508.125</v>
      </c>
      <c r="C4083" s="200" t="s">
        <v>3806</v>
      </c>
      <c r="E4083" s="91">
        <v>5000000</v>
      </c>
      <c r="G4083" s="93">
        <f t="shared" si="805"/>
        <v>5000000</v>
      </c>
      <c r="J4083" s="138">
        <v>42793.8</v>
      </c>
      <c r="K4083" s="25">
        <f t="shared" si="806"/>
        <v>4957206.2</v>
      </c>
      <c r="L4083" s="95">
        <f t="shared" si="807"/>
        <v>16619393</v>
      </c>
      <c r="P4083" s="84">
        <v>54156115</v>
      </c>
      <c r="Q4083" s="124">
        <v>44440</v>
      </c>
      <c r="R4083" s="125">
        <v>250000</v>
      </c>
      <c r="S4083" s="125">
        <v>320000</v>
      </c>
      <c r="W4083" s="31"/>
      <c r="X4083" s="131"/>
    </row>
    <row r="4084" spans="1:24" ht="15" hidden="1" x14ac:dyDescent="0.25">
      <c r="B4084" s="89">
        <v>44545.125</v>
      </c>
      <c r="C4084" s="200" t="s">
        <v>3807</v>
      </c>
      <c r="E4084" s="91">
        <v>5000000</v>
      </c>
      <c r="G4084" s="93">
        <f t="shared" si="805"/>
        <v>5000000</v>
      </c>
      <c r="J4084" s="138">
        <v>42793.8</v>
      </c>
      <c r="K4084" s="25">
        <f t="shared" si="806"/>
        <v>4957206.2</v>
      </c>
      <c r="L4084" s="95">
        <f t="shared" si="807"/>
        <v>11619393</v>
      </c>
      <c r="P4084" s="84">
        <v>54846815</v>
      </c>
      <c r="Q4084" s="124">
        <v>44470</v>
      </c>
      <c r="R4084" s="125">
        <v>250000</v>
      </c>
      <c r="S4084" s="125">
        <v>320000</v>
      </c>
      <c r="W4084" s="31"/>
      <c r="X4084" s="131"/>
    </row>
    <row r="4085" spans="1:24" ht="15" hidden="1" x14ac:dyDescent="0.25">
      <c r="B4085" s="89">
        <v>44546.125</v>
      </c>
      <c r="C4085" s="200" t="s">
        <v>3808</v>
      </c>
      <c r="E4085" s="91">
        <v>661193.32999999996</v>
      </c>
      <c r="G4085" s="93">
        <f t="shared" si="805"/>
        <v>661193.32999999996</v>
      </c>
      <c r="J4085" s="138">
        <v>3305.97</v>
      </c>
      <c r="K4085" s="25">
        <f t="shared" si="806"/>
        <v>657887.36</v>
      </c>
      <c r="L4085" s="95">
        <f t="shared" si="807"/>
        <v>10958199.67</v>
      </c>
      <c r="P4085" s="84">
        <v>55366669</v>
      </c>
      <c r="Q4085" s="124">
        <v>44501</v>
      </c>
      <c r="R4085" s="125">
        <v>250000</v>
      </c>
      <c r="S4085" s="125">
        <v>320000</v>
      </c>
      <c r="W4085" s="31"/>
      <c r="X4085" s="131"/>
    </row>
    <row r="4086" spans="1:24" ht="15" hidden="1" x14ac:dyDescent="0.25">
      <c r="B4086" s="89">
        <v>44546.125</v>
      </c>
      <c r="C4086" s="200" t="s">
        <v>3809</v>
      </c>
      <c r="E4086" s="91">
        <v>330596.67</v>
      </c>
      <c r="G4086" s="93">
        <f t="shared" si="805"/>
        <v>330596.67</v>
      </c>
      <c r="J4086" s="138">
        <v>0</v>
      </c>
      <c r="K4086" s="25">
        <f t="shared" si="806"/>
        <v>330596.67</v>
      </c>
      <c r="L4086" s="95">
        <f t="shared" si="807"/>
        <v>10627603</v>
      </c>
      <c r="P4086" s="84">
        <v>55366761</v>
      </c>
      <c r="Q4086" s="124">
        <v>44531</v>
      </c>
      <c r="R4086" s="125">
        <v>250000</v>
      </c>
      <c r="S4086" s="125">
        <v>320000</v>
      </c>
      <c r="W4086" s="31"/>
      <c r="X4086" s="131"/>
    </row>
    <row r="4087" spans="1:24" ht="15" hidden="1" x14ac:dyDescent="0.25">
      <c r="B4087" s="89">
        <v>44559.125</v>
      </c>
      <c r="C4087" s="200" t="s">
        <v>3810</v>
      </c>
      <c r="E4087" s="91">
        <v>5000000</v>
      </c>
      <c r="G4087" s="93">
        <f t="shared" si="805"/>
        <v>5000000</v>
      </c>
      <c r="J4087" s="138">
        <v>42793.8</v>
      </c>
      <c r="K4087" s="25">
        <f t="shared" si="806"/>
        <v>4957206.2</v>
      </c>
      <c r="L4087" s="95">
        <f t="shared" si="807"/>
        <v>5627603</v>
      </c>
      <c r="P4087" s="84"/>
      <c r="Q4087" s="124"/>
      <c r="R4087" s="178">
        <f>SUM(R4075:R4086)</f>
        <v>1950000</v>
      </c>
      <c r="S4087" s="177">
        <f>SUM(S4075:S4086)</f>
        <v>2496000</v>
      </c>
      <c r="W4087" s="31"/>
      <c r="X4087" s="131"/>
    </row>
    <row r="4088" spans="1:24" ht="15" hidden="1" x14ac:dyDescent="0.25">
      <c r="B4088" s="89">
        <v>44559.125</v>
      </c>
      <c r="C4088" s="200" t="s">
        <v>3811</v>
      </c>
      <c r="E4088" s="91">
        <v>1011740</v>
      </c>
      <c r="G4088" s="93">
        <f t="shared" si="805"/>
        <v>1011740</v>
      </c>
      <c r="I4088" s="138">
        <v>51387.29</v>
      </c>
      <c r="J4088" s="138">
        <v>5058.7</v>
      </c>
      <c r="K4088" s="25">
        <f t="shared" si="806"/>
        <v>955294.01</v>
      </c>
      <c r="L4088" s="95">
        <f t="shared" si="807"/>
        <v>4615863</v>
      </c>
      <c r="P4088" s="84"/>
      <c r="Q4088" s="124"/>
      <c r="R4088" s="178"/>
      <c r="S4088" s="177"/>
      <c r="W4088" s="31"/>
      <c r="X4088" s="131"/>
    </row>
    <row r="4089" spans="1:24" ht="15" hidden="1" x14ac:dyDescent="0.25">
      <c r="A4089" s="21">
        <v>465</v>
      </c>
      <c r="B4089" s="139" t="s">
        <v>3812</v>
      </c>
      <c r="C4089" s="140"/>
      <c r="D4089" s="141">
        <v>63036000</v>
      </c>
      <c r="E4089" s="141">
        <f>+D4089</f>
        <v>63036000</v>
      </c>
      <c r="F4089" s="141"/>
      <c r="G4089" s="141"/>
      <c r="H4089" s="141"/>
      <c r="I4089" s="141"/>
      <c r="J4089" s="141"/>
      <c r="K4089" s="141"/>
      <c r="L4089" s="141">
        <f>+D4089</f>
        <v>63036000</v>
      </c>
      <c r="O4089" s="149">
        <f>+VLOOKUP(A4089,'[1]ANEXO 7 - PPTO VIG 2021'!$H$8:$AB$160,21,)-L4097</f>
        <v>-291833</v>
      </c>
    </row>
    <row r="4090" spans="1:24" ht="15" hidden="1" x14ac:dyDescent="0.25">
      <c r="B4090" s="89">
        <v>44392.083333333336</v>
      </c>
      <c r="C4090" s="62" t="s">
        <v>3813</v>
      </c>
      <c r="D4090" s="62"/>
      <c r="E4090" s="61">
        <v>1459167</v>
      </c>
      <c r="F4090" s="61"/>
      <c r="G4090" s="93">
        <f t="shared" ref="G4090:G4097" si="808">+E4090</f>
        <v>1459167</v>
      </c>
      <c r="H4090" s="61"/>
      <c r="I4090" s="61"/>
      <c r="J4090" s="61">
        <v>12488.66</v>
      </c>
      <c r="K4090" s="25">
        <f t="shared" ref="K4090:K4097" si="809">+G4090-H4090-I4090-J4090</f>
        <v>1446678.34</v>
      </c>
      <c r="L4090" s="95">
        <f t="shared" ref="L4090:L4095" si="810">+L4089-G4090</f>
        <v>61576833</v>
      </c>
      <c r="P4090" s="55">
        <v>50103023</v>
      </c>
      <c r="Q4090" s="97">
        <v>44287</v>
      </c>
      <c r="R4090" s="14">
        <v>113600</v>
      </c>
      <c r="S4090" s="14">
        <v>145400</v>
      </c>
      <c r="T4090" s="3">
        <f>+L4089-291833</f>
        <v>62744167</v>
      </c>
      <c r="U4090" s="3">
        <f>+T4090*40%</f>
        <v>25097666.800000001</v>
      </c>
    </row>
    <row r="4091" spans="1:24" ht="15" hidden="1" x14ac:dyDescent="0.25">
      <c r="B4091" s="89">
        <v>44403.083333333336</v>
      </c>
      <c r="C4091" s="62" t="s">
        <v>3814</v>
      </c>
      <c r="D4091" s="62"/>
      <c r="E4091" s="61">
        <v>8755000</v>
      </c>
      <c r="F4091" s="61"/>
      <c r="G4091" s="93">
        <f t="shared" si="808"/>
        <v>8755000</v>
      </c>
      <c r="H4091" s="61"/>
      <c r="I4091" s="61">
        <v>463256.31</v>
      </c>
      <c r="J4091" s="61">
        <v>74931.94</v>
      </c>
      <c r="K4091" s="25">
        <f t="shared" si="809"/>
        <v>8216811.75</v>
      </c>
      <c r="L4091" s="95">
        <f t="shared" si="810"/>
        <v>52821833</v>
      </c>
      <c r="P4091" s="55">
        <v>51971649</v>
      </c>
      <c r="Q4091" s="97">
        <v>44317</v>
      </c>
      <c r="R4091" s="14">
        <f>59200+378600</f>
        <v>437800</v>
      </c>
      <c r="S4091" s="14">
        <f>75800+484600</f>
        <v>560400</v>
      </c>
      <c r="U4091" s="3"/>
    </row>
    <row r="4092" spans="1:24" ht="15" hidden="1" x14ac:dyDescent="0.25">
      <c r="B4092" s="89">
        <v>44431.083333333336</v>
      </c>
      <c r="C4092" s="62" t="s">
        <v>3815</v>
      </c>
      <c r="D4092" s="62"/>
      <c r="E4092" s="56">
        <v>8755000</v>
      </c>
      <c r="F4092" s="61"/>
      <c r="G4092" s="93">
        <f t="shared" si="808"/>
        <v>8755000</v>
      </c>
      <c r="H4092" s="61">
        <v>209678.57</v>
      </c>
      <c r="I4092" s="61">
        <v>262725.34000000003</v>
      </c>
      <c r="J4092" s="61">
        <v>62968.02</v>
      </c>
      <c r="K4092" s="25">
        <f t="shared" si="809"/>
        <v>8219628.0700000003</v>
      </c>
      <c r="L4092" s="95">
        <f t="shared" si="810"/>
        <v>44066833</v>
      </c>
      <c r="P4092" s="84">
        <v>52077558</v>
      </c>
      <c r="Q4092" s="97">
        <v>44348</v>
      </c>
      <c r="R4092" s="14">
        <f>59200+378600</f>
        <v>437800</v>
      </c>
      <c r="S4092" s="14">
        <f>75800+484600</f>
        <v>560400</v>
      </c>
      <c r="U4092" s="3">
        <f>+U4090*12.5%</f>
        <v>3137208.35</v>
      </c>
      <c r="V4092" s="173" t="s">
        <v>2769</v>
      </c>
      <c r="W4092" s="31">
        <v>8755000</v>
      </c>
      <c r="X4092" s="131">
        <f>+E4092-W4092</f>
        <v>0</v>
      </c>
    </row>
    <row r="4093" spans="1:24" ht="15" hidden="1" x14ac:dyDescent="0.25">
      <c r="B4093" s="89">
        <v>44447.083333333336</v>
      </c>
      <c r="C4093" s="62" t="s">
        <v>3816</v>
      </c>
      <c r="D4093" s="62"/>
      <c r="E4093" s="56">
        <v>8755000</v>
      </c>
      <c r="F4093" s="61"/>
      <c r="G4093" s="93">
        <f t="shared" si="808"/>
        <v>8755000</v>
      </c>
      <c r="H4093" s="61">
        <v>209678.57</v>
      </c>
      <c r="I4093" s="61">
        <v>262725.34000000003</v>
      </c>
      <c r="J4093" s="61">
        <v>62968.02</v>
      </c>
      <c r="K4093" s="25">
        <f t="shared" si="809"/>
        <v>8219628.0700000003</v>
      </c>
      <c r="L4093" s="95">
        <f t="shared" si="810"/>
        <v>35311833</v>
      </c>
      <c r="P4093" s="84">
        <v>52077616</v>
      </c>
      <c r="Q4093" s="97">
        <v>44378</v>
      </c>
      <c r="R4093" s="125">
        <v>1107300</v>
      </c>
      <c r="S4093" s="125">
        <v>1505900</v>
      </c>
      <c r="U4093" s="3">
        <f>+U4090*16%</f>
        <v>4015626.6880000001</v>
      </c>
      <c r="V4093" s="172" t="s">
        <v>2771</v>
      </c>
      <c r="W4093" s="31"/>
      <c r="X4093" s="131"/>
    </row>
    <row r="4094" spans="1:24" ht="15" hidden="1" x14ac:dyDescent="0.25">
      <c r="B4094" s="89">
        <v>44480.083333333336</v>
      </c>
      <c r="C4094" s="62" t="s">
        <v>3817</v>
      </c>
      <c r="D4094" s="62"/>
      <c r="E4094" s="56">
        <v>8755000</v>
      </c>
      <c r="F4094" s="61"/>
      <c r="G4094" s="93">
        <f t="shared" si="808"/>
        <v>8755000</v>
      </c>
      <c r="H4094" s="61">
        <v>209678.57</v>
      </c>
      <c r="I4094" s="61">
        <v>262725.34000000003</v>
      </c>
      <c r="J4094" s="61">
        <v>62968.02</v>
      </c>
      <c r="K4094" s="25">
        <f t="shared" si="809"/>
        <v>8219628.0700000003</v>
      </c>
      <c r="L4094" s="95">
        <f t="shared" si="810"/>
        <v>26556833</v>
      </c>
      <c r="P4094" s="84">
        <v>52776832</v>
      </c>
      <c r="Q4094" s="97">
        <v>44409</v>
      </c>
      <c r="R4094" s="125">
        <v>1107300</v>
      </c>
      <c r="S4094" s="125">
        <v>1505900</v>
      </c>
      <c r="W4094" s="31"/>
      <c r="X4094" s="131"/>
    </row>
    <row r="4095" spans="1:24" ht="15" hidden="1" x14ac:dyDescent="0.25">
      <c r="B4095" s="89">
        <v>44508.125</v>
      </c>
      <c r="C4095" s="62" t="s">
        <v>3818</v>
      </c>
      <c r="D4095" s="62"/>
      <c r="E4095" s="56">
        <v>8755000</v>
      </c>
      <c r="F4095" s="61"/>
      <c r="G4095" s="93">
        <f t="shared" si="808"/>
        <v>8755000</v>
      </c>
      <c r="H4095" s="61">
        <v>209678.57</v>
      </c>
      <c r="I4095" s="61">
        <v>262725.34000000003</v>
      </c>
      <c r="J4095" s="61">
        <v>62968.02</v>
      </c>
      <c r="K4095" s="25">
        <f t="shared" si="809"/>
        <v>8219628.0700000003</v>
      </c>
      <c r="L4095" s="95">
        <f t="shared" si="810"/>
        <v>17801833</v>
      </c>
      <c r="P4095" s="84">
        <v>53466348</v>
      </c>
      <c r="Q4095" s="97">
        <v>44440</v>
      </c>
      <c r="R4095" s="125">
        <v>1107300</v>
      </c>
      <c r="S4095" s="125">
        <v>1505900</v>
      </c>
      <c r="W4095" s="31"/>
      <c r="X4095" s="131"/>
    </row>
    <row r="4096" spans="1:24" ht="15" hidden="1" x14ac:dyDescent="0.25">
      <c r="B4096" s="89">
        <v>44540.125</v>
      </c>
      <c r="C4096" s="62" t="s">
        <v>3819</v>
      </c>
      <c r="D4096" s="62"/>
      <c r="E4096" s="56">
        <v>8755000</v>
      </c>
      <c r="F4096" s="61"/>
      <c r="G4096" s="93">
        <f t="shared" si="808"/>
        <v>8755000</v>
      </c>
      <c r="H4096" s="61">
        <v>209678.57</v>
      </c>
      <c r="I4096" s="61">
        <v>262725.34000000003</v>
      </c>
      <c r="J4096" s="61">
        <v>62968.02</v>
      </c>
      <c r="K4096" s="25">
        <f t="shared" si="809"/>
        <v>8219628.0700000003</v>
      </c>
      <c r="L4096" s="95">
        <f>+L4095-G4096</f>
        <v>9046833</v>
      </c>
      <c r="P4096" s="84">
        <v>54140514</v>
      </c>
      <c r="Q4096" s="124">
        <v>44470</v>
      </c>
      <c r="R4096" s="125">
        <v>1107300</v>
      </c>
      <c r="S4096" s="125">
        <v>1505900</v>
      </c>
      <c r="W4096" s="31"/>
      <c r="X4096" s="131"/>
    </row>
    <row r="4097" spans="1:24" ht="15" hidden="1" x14ac:dyDescent="0.25">
      <c r="B4097" s="89">
        <v>44560.125</v>
      </c>
      <c r="C4097" s="62" t="s">
        <v>3820</v>
      </c>
      <c r="D4097" s="62"/>
      <c r="E4097" s="56">
        <v>8755000</v>
      </c>
      <c r="F4097" s="61"/>
      <c r="G4097" s="93">
        <f t="shared" si="808"/>
        <v>8755000</v>
      </c>
      <c r="H4097" s="61">
        <v>1313250</v>
      </c>
      <c r="I4097" s="61">
        <v>262725.34000000003</v>
      </c>
      <c r="J4097" s="61">
        <v>62968.02</v>
      </c>
      <c r="K4097" s="25">
        <f t="shared" si="809"/>
        <v>7116056.6400000006</v>
      </c>
      <c r="L4097" s="95">
        <f>+L4096-G4097</f>
        <v>291833</v>
      </c>
      <c r="P4097" s="84">
        <v>54822019</v>
      </c>
      <c r="Q4097" s="124">
        <v>44501</v>
      </c>
      <c r="R4097" s="125">
        <v>1107300</v>
      </c>
      <c r="S4097" s="125">
        <v>1505900</v>
      </c>
      <c r="W4097" s="31"/>
      <c r="X4097" s="131"/>
    </row>
    <row r="4098" spans="1:24" ht="15" hidden="1" x14ac:dyDescent="0.25">
      <c r="B4098" s="89"/>
      <c r="C4098" s="62"/>
      <c r="D4098" s="62"/>
      <c r="E4098" s="56"/>
      <c r="F4098" s="61"/>
      <c r="G4098" s="93"/>
      <c r="H4098" s="61"/>
      <c r="I4098" s="61"/>
      <c r="J4098" s="61"/>
      <c r="K4098" s="25"/>
      <c r="L4098" s="95"/>
      <c r="P4098" s="84">
        <v>55399238</v>
      </c>
      <c r="Q4098" s="124">
        <v>44531</v>
      </c>
      <c r="R4098" s="125">
        <v>1107300</v>
      </c>
      <c r="S4098" s="125">
        <v>1505900</v>
      </c>
      <c r="W4098" s="31"/>
      <c r="X4098" s="131"/>
    </row>
    <row r="4099" spans="1:24" ht="15" hidden="1" x14ac:dyDescent="0.25">
      <c r="B4099" s="89"/>
      <c r="C4099" s="62"/>
      <c r="D4099" s="62"/>
      <c r="E4099" s="56"/>
      <c r="F4099" s="61"/>
      <c r="G4099" s="93"/>
      <c r="H4099" s="61"/>
      <c r="I4099" s="61"/>
      <c r="J4099" s="61"/>
      <c r="K4099" s="25"/>
      <c r="L4099" s="95"/>
      <c r="P4099" s="84"/>
      <c r="Q4099" s="124"/>
      <c r="R4099" s="178">
        <f>SUM(R4090:R4098)</f>
        <v>7633000</v>
      </c>
      <c r="S4099" s="177">
        <f>SUM(S4090:S4098)</f>
        <v>10301600</v>
      </c>
      <c r="W4099" s="31"/>
      <c r="X4099" s="131"/>
    </row>
    <row r="4100" spans="1:24" ht="15" hidden="1" x14ac:dyDescent="0.25">
      <c r="A4100" s="21">
        <v>486</v>
      </c>
      <c r="B4100" s="211" t="s">
        <v>3821</v>
      </c>
      <c r="C4100" s="140"/>
      <c r="D4100" s="141">
        <v>62488800</v>
      </c>
      <c r="E4100" s="141">
        <f>+D4100</f>
        <v>62488800</v>
      </c>
      <c r="F4100" s="141"/>
      <c r="G4100" s="141"/>
      <c r="H4100" s="141"/>
      <c r="I4100" s="141"/>
      <c r="J4100" s="141"/>
      <c r="K4100" s="141"/>
      <c r="L4100" s="141">
        <f>+D4100</f>
        <v>62488800</v>
      </c>
      <c r="O4100" s="149">
        <f>+VLOOKUP(A4100,'[1]ANEXO 7 - PPTO VIG 2021'!$H$8:$AB$160,21,)-L4115</f>
        <v>-240320</v>
      </c>
    </row>
    <row r="4101" spans="1:24" ht="15" hidden="1" x14ac:dyDescent="0.25">
      <c r="B4101" s="89">
        <v>44392.083333333336</v>
      </c>
      <c r="C4101" s="200" t="s">
        <v>3822</v>
      </c>
      <c r="E4101" s="138">
        <v>7498400</v>
      </c>
      <c r="G4101" s="93">
        <f t="shared" ref="G4101:G4115" si="811">+E4101</f>
        <v>7498400</v>
      </c>
      <c r="I4101" s="138">
        <v>280522</v>
      </c>
      <c r="J4101" s="138">
        <v>64177.01</v>
      </c>
      <c r="K4101" s="25">
        <f t="shared" ref="K4101:K4115" si="812">+G4101-H4101-I4101-J4101</f>
        <v>7153700.9900000002</v>
      </c>
      <c r="L4101" s="95">
        <f t="shared" ref="L4101:L4115" si="813">+L4100-G4101</f>
        <v>54990400</v>
      </c>
      <c r="P4101" s="55">
        <v>7802169509</v>
      </c>
      <c r="Q4101" s="97">
        <v>44378</v>
      </c>
      <c r="R4101" s="14">
        <v>550000</v>
      </c>
      <c r="S4101" s="14">
        <v>748000</v>
      </c>
      <c r="T4101" s="3">
        <f>+L4100-10000000</f>
        <v>52488800</v>
      </c>
      <c r="U4101" s="3">
        <f>+T4101*40%</f>
        <v>20995520</v>
      </c>
    </row>
    <row r="4102" spans="1:24" ht="15" hidden="1" x14ac:dyDescent="0.25">
      <c r="B4102" s="89">
        <v>44420.083333333336</v>
      </c>
      <c r="C4102" s="200" t="s">
        <v>3823</v>
      </c>
      <c r="E4102" s="63">
        <v>7498400</v>
      </c>
      <c r="G4102" s="93">
        <f t="shared" si="811"/>
        <v>7498400</v>
      </c>
      <c r="I4102" s="138">
        <v>280522</v>
      </c>
      <c r="J4102" s="138">
        <v>64177.01</v>
      </c>
      <c r="K4102" s="25">
        <f t="shared" si="812"/>
        <v>7153700.9900000002</v>
      </c>
      <c r="L4102" s="95">
        <f t="shared" si="813"/>
        <v>47492000</v>
      </c>
      <c r="P4102" s="84">
        <v>7804951395</v>
      </c>
      <c r="Q4102" s="97">
        <v>44348</v>
      </c>
      <c r="R4102" s="14">
        <v>550000</v>
      </c>
      <c r="S4102" s="14">
        <v>748000</v>
      </c>
      <c r="U4102" s="3"/>
      <c r="W4102" s="31">
        <v>7498400</v>
      </c>
      <c r="X4102" s="131">
        <f>+E4102-W4102</f>
        <v>0</v>
      </c>
    </row>
    <row r="4103" spans="1:24" ht="15" hidden="1" x14ac:dyDescent="0.25">
      <c r="B4103" s="89">
        <v>44428.083333333336</v>
      </c>
      <c r="C4103" s="200" t="s">
        <v>3824</v>
      </c>
      <c r="E4103" s="63">
        <v>1299331</v>
      </c>
      <c r="G4103" s="93">
        <f t="shared" si="811"/>
        <v>1299331</v>
      </c>
      <c r="I4103" s="138">
        <v>209675.18</v>
      </c>
      <c r="J4103" s="138">
        <v>8575.58</v>
      </c>
      <c r="K4103" s="25">
        <f t="shared" si="812"/>
        <v>1081080.24</v>
      </c>
      <c r="L4103" s="95">
        <f t="shared" si="813"/>
        <v>46192669</v>
      </c>
      <c r="P4103" s="84"/>
      <c r="Q4103" s="124"/>
      <c r="R4103" s="125">
        <v>0</v>
      </c>
      <c r="S4103" s="125">
        <v>0</v>
      </c>
      <c r="U4103" s="3">
        <f>+U4101*12.5%</f>
        <v>2624440</v>
      </c>
      <c r="V4103" s="173" t="s">
        <v>2769</v>
      </c>
      <c r="W4103" s="31">
        <v>1299331</v>
      </c>
      <c r="X4103" s="131">
        <f>+E4103-W4103</f>
        <v>0</v>
      </c>
    </row>
    <row r="4104" spans="1:24" ht="15" hidden="1" x14ac:dyDescent="0.25">
      <c r="B4104" s="89">
        <v>44445.083333333336</v>
      </c>
      <c r="C4104" s="200" t="s">
        <v>3825</v>
      </c>
      <c r="E4104" s="63">
        <v>7498400</v>
      </c>
      <c r="G4104" s="93">
        <f t="shared" si="811"/>
        <v>7498400</v>
      </c>
      <c r="I4104" s="138">
        <v>280522</v>
      </c>
      <c r="J4104" s="138">
        <v>64177.01</v>
      </c>
      <c r="K4104" s="25">
        <f t="shared" si="812"/>
        <v>7153700.9900000002</v>
      </c>
      <c r="L4104" s="95">
        <f t="shared" si="813"/>
        <v>38694269</v>
      </c>
      <c r="P4104" s="84">
        <v>7807833865</v>
      </c>
      <c r="Q4104" s="97">
        <v>44409</v>
      </c>
      <c r="R4104" s="14">
        <v>550000</v>
      </c>
      <c r="S4104" s="14">
        <v>748000</v>
      </c>
      <c r="U4104" s="3">
        <f>+U4101*16%</f>
        <v>3359283.2000000002</v>
      </c>
      <c r="V4104" s="172" t="s">
        <v>2771</v>
      </c>
      <c r="W4104" s="31"/>
      <c r="X4104" s="131"/>
    </row>
    <row r="4105" spans="1:24" ht="15" hidden="1" x14ac:dyDescent="0.25">
      <c r="B4105" s="89">
        <v>44461.083333333336</v>
      </c>
      <c r="C4105" s="200" t="s">
        <v>3826</v>
      </c>
      <c r="E4105" s="63">
        <v>3791485</v>
      </c>
      <c r="G4105" s="93">
        <f t="shared" si="811"/>
        <v>3791485</v>
      </c>
      <c r="I4105" s="138">
        <v>733027.51</v>
      </c>
      <c r="J4105" s="138">
        <v>25083.599999999999</v>
      </c>
      <c r="K4105" s="25">
        <f t="shared" si="812"/>
        <v>3033373.89</v>
      </c>
      <c r="L4105" s="95">
        <f t="shared" si="813"/>
        <v>34902784</v>
      </c>
      <c r="P4105" s="84"/>
      <c r="Q4105" s="124"/>
      <c r="R4105" s="125">
        <v>0</v>
      </c>
      <c r="S4105" s="125">
        <v>0</v>
      </c>
      <c r="W4105" s="31"/>
      <c r="X4105" s="131"/>
    </row>
    <row r="4106" spans="1:24" ht="15" hidden="1" x14ac:dyDescent="0.25">
      <c r="B4106" s="89">
        <v>44480.083333333336</v>
      </c>
      <c r="C4106" s="200" t="s">
        <v>3827</v>
      </c>
      <c r="E4106" s="63">
        <v>7498400</v>
      </c>
      <c r="G4106" s="93">
        <f t="shared" si="811"/>
        <v>7498400</v>
      </c>
      <c r="I4106" s="138">
        <v>276660.24</v>
      </c>
      <c r="J4106" s="138">
        <v>64177.01</v>
      </c>
      <c r="K4106" s="25">
        <f t="shared" si="812"/>
        <v>7157562.75</v>
      </c>
      <c r="L4106" s="95">
        <f t="shared" si="813"/>
        <v>27404384</v>
      </c>
      <c r="P4106" s="84">
        <v>7811497764</v>
      </c>
      <c r="Q4106" s="97">
        <v>44440</v>
      </c>
      <c r="R4106" s="14">
        <v>875000</v>
      </c>
      <c r="S4106" s="14">
        <v>1190000</v>
      </c>
      <c r="W4106" s="31"/>
      <c r="X4106" s="131"/>
    </row>
    <row r="4107" spans="1:24" ht="15" hidden="1" x14ac:dyDescent="0.25">
      <c r="B4107" s="89">
        <v>44508.125</v>
      </c>
      <c r="C4107" s="200" t="s">
        <v>3828</v>
      </c>
      <c r="E4107" s="63">
        <v>7498400</v>
      </c>
      <c r="G4107" s="93">
        <f t="shared" si="811"/>
        <v>7498400</v>
      </c>
      <c r="I4107" s="138">
        <v>276660.24</v>
      </c>
      <c r="J4107" s="138">
        <v>64177.01</v>
      </c>
      <c r="K4107" s="25">
        <f t="shared" si="812"/>
        <v>7157562.75</v>
      </c>
      <c r="L4107" s="95">
        <f t="shared" si="813"/>
        <v>19905984</v>
      </c>
      <c r="P4107" s="84">
        <v>7814749561</v>
      </c>
      <c r="Q4107" s="97">
        <v>44470</v>
      </c>
      <c r="R4107" s="14">
        <v>875000</v>
      </c>
      <c r="S4107" s="14">
        <v>1190000</v>
      </c>
      <c r="W4107" s="31"/>
      <c r="X4107" s="131"/>
    </row>
    <row r="4108" spans="1:24" ht="15" hidden="1" x14ac:dyDescent="0.25">
      <c r="B4108" s="89">
        <v>44508.125</v>
      </c>
      <c r="C4108" s="200" t="s">
        <v>3829</v>
      </c>
      <c r="E4108" s="63">
        <v>309050</v>
      </c>
      <c r="G4108" s="93">
        <f t="shared" si="811"/>
        <v>309050</v>
      </c>
      <c r="J4108" s="138">
        <v>618.1</v>
      </c>
      <c r="K4108" s="25">
        <f t="shared" si="812"/>
        <v>308431.90000000002</v>
      </c>
      <c r="L4108" s="95">
        <f t="shared" si="813"/>
        <v>19596934</v>
      </c>
      <c r="P4108" s="84"/>
      <c r="Q4108" s="124"/>
      <c r="R4108" s="125">
        <v>0</v>
      </c>
      <c r="S4108" s="125">
        <v>0</v>
      </c>
      <c r="W4108" s="31"/>
      <c r="X4108" s="131"/>
    </row>
    <row r="4109" spans="1:24" ht="15" hidden="1" x14ac:dyDescent="0.25">
      <c r="B4109" s="89">
        <v>44505.083333333336</v>
      </c>
      <c r="C4109" s="200" t="s">
        <v>3830</v>
      </c>
      <c r="E4109" s="63">
        <v>975219</v>
      </c>
      <c r="G4109" s="93">
        <f t="shared" si="811"/>
        <v>975219</v>
      </c>
      <c r="J4109" s="138">
        <v>1950.44</v>
      </c>
      <c r="K4109" s="25">
        <f t="shared" si="812"/>
        <v>973268.56</v>
      </c>
      <c r="L4109" s="95">
        <f t="shared" si="813"/>
        <v>18621715</v>
      </c>
      <c r="P4109" s="84"/>
      <c r="Q4109" s="124"/>
      <c r="R4109" s="125">
        <v>0</v>
      </c>
      <c r="S4109" s="125">
        <v>0</v>
      </c>
      <c r="W4109" s="31"/>
      <c r="X4109" s="131"/>
    </row>
    <row r="4110" spans="1:24" ht="15" hidden="1" x14ac:dyDescent="0.25">
      <c r="B4110" s="89">
        <v>44544.125</v>
      </c>
      <c r="C4110" s="200" t="s">
        <v>3831</v>
      </c>
      <c r="E4110" s="63">
        <v>7498400</v>
      </c>
      <c r="G4110" s="93">
        <f t="shared" si="811"/>
        <v>7498400</v>
      </c>
      <c r="I4110" s="138">
        <v>276660.24</v>
      </c>
      <c r="J4110" s="138">
        <v>64177.01</v>
      </c>
      <c r="K4110" s="25">
        <f t="shared" si="812"/>
        <v>7157562.75</v>
      </c>
      <c r="L4110" s="95">
        <f t="shared" si="813"/>
        <v>11123315</v>
      </c>
      <c r="P4110" s="84">
        <v>7818284243</v>
      </c>
      <c r="Q4110" s="97">
        <v>44501</v>
      </c>
      <c r="R4110" s="14">
        <v>875000</v>
      </c>
      <c r="S4110" s="14">
        <v>1190000</v>
      </c>
      <c r="W4110" s="31"/>
      <c r="X4110" s="131"/>
    </row>
    <row r="4111" spans="1:24" ht="15" hidden="1" x14ac:dyDescent="0.25">
      <c r="B4111" s="89">
        <v>44559.125</v>
      </c>
      <c r="C4111" s="200" t="s">
        <v>3832</v>
      </c>
      <c r="E4111" s="63">
        <v>7498400</v>
      </c>
      <c r="G4111" s="93">
        <f t="shared" si="811"/>
        <v>7498400</v>
      </c>
      <c r="I4111" s="138">
        <v>280522</v>
      </c>
      <c r="J4111" s="138">
        <v>64177.01</v>
      </c>
      <c r="K4111" s="25">
        <f t="shared" si="812"/>
        <v>7153700.9900000002</v>
      </c>
      <c r="L4111" s="95">
        <f t="shared" si="813"/>
        <v>3624915</v>
      </c>
      <c r="P4111" s="84">
        <v>7820025603</v>
      </c>
      <c r="Q4111" s="97">
        <v>44531</v>
      </c>
      <c r="R4111" s="14">
        <v>550000</v>
      </c>
      <c r="S4111" s="14">
        <v>748000</v>
      </c>
      <c r="W4111" s="31"/>
      <c r="X4111" s="131"/>
    </row>
    <row r="4112" spans="1:24" ht="15" hidden="1" x14ac:dyDescent="0.25">
      <c r="B4112" s="89">
        <v>44564.125</v>
      </c>
      <c r="C4112" s="200" t="s">
        <v>3833</v>
      </c>
      <c r="E4112" s="63">
        <v>464390</v>
      </c>
      <c r="G4112" s="93">
        <f t="shared" si="811"/>
        <v>464390</v>
      </c>
      <c r="I4112" s="138">
        <v>0</v>
      </c>
      <c r="J4112" s="138">
        <v>0</v>
      </c>
      <c r="K4112" s="25">
        <f t="shared" si="812"/>
        <v>464390</v>
      </c>
      <c r="L4112" s="95">
        <f t="shared" si="813"/>
        <v>3160525</v>
      </c>
      <c r="P4112" s="84"/>
      <c r="Q4112" s="124"/>
      <c r="R4112" s="178">
        <f>SUM(R4101:R4111)</f>
        <v>4825000</v>
      </c>
      <c r="S4112" s="177">
        <f>SUM(S4101:S4111)</f>
        <v>6562000</v>
      </c>
      <c r="W4112" s="31"/>
      <c r="X4112" s="131"/>
    </row>
    <row r="4113" spans="1:24" ht="15" hidden="1" x14ac:dyDescent="0.25">
      <c r="B4113" s="89">
        <v>44564.125</v>
      </c>
      <c r="C4113" s="200" t="s">
        <v>3834</v>
      </c>
      <c r="E4113" s="63">
        <v>232195</v>
      </c>
      <c r="G4113" s="93">
        <f t="shared" si="811"/>
        <v>232195</v>
      </c>
      <c r="I4113" s="138">
        <v>0</v>
      </c>
      <c r="J4113" s="138">
        <v>0</v>
      </c>
      <c r="K4113" s="25">
        <f t="shared" si="812"/>
        <v>232195</v>
      </c>
      <c r="L4113" s="95">
        <f t="shared" si="813"/>
        <v>2928330</v>
      </c>
      <c r="P4113" s="84"/>
      <c r="Q4113" s="124"/>
      <c r="R4113" s="125"/>
      <c r="S4113" s="125"/>
      <c r="W4113" s="31"/>
      <c r="X4113" s="131"/>
    </row>
    <row r="4114" spans="1:24" ht="15" hidden="1" x14ac:dyDescent="0.25">
      <c r="B4114" s="89">
        <v>44564.125</v>
      </c>
      <c r="C4114" s="200" t="s">
        <v>3835</v>
      </c>
      <c r="E4114" s="63">
        <v>1596845</v>
      </c>
      <c r="G4114" s="93">
        <f t="shared" si="811"/>
        <v>1596845</v>
      </c>
      <c r="I4114" s="138">
        <v>0</v>
      </c>
      <c r="J4114" s="138">
        <v>7984.23</v>
      </c>
      <c r="K4114" s="25">
        <f t="shared" si="812"/>
        <v>1588860.77</v>
      </c>
      <c r="L4114" s="95">
        <f t="shared" si="813"/>
        <v>1331485</v>
      </c>
      <c r="P4114" s="84"/>
      <c r="Q4114" s="124"/>
      <c r="R4114" s="125"/>
      <c r="S4114" s="125"/>
      <c r="W4114" s="31"/>
      <c r="X4114" s="131"/>
    </row>
    <row r="4115" spans="1:24" ht="15" hidden="1" x14ac:dyDescent="0.25">
      <c r="B4115" s="89">
        <v>44564.125</v>
      </c>
      <c r="C4115" s="200" t="s">
        <v>3836</v>
      </c>
      <c r="E4115" s="63">
        <v>1091165</v>
      </c>
      <c r="G4115" s="93">
        <f t="shared" si="811"/>
        <v>1091165</v>
      </c>
      <c r="I4115" s="138">
        <v>164131.04</v>
      </c>
      <c r="J4115" s="138">
        <v>5455.83</v>
      </c>
      <c r="K4115" s="25">
        <f t="shared" si="812"/>
        <v>921578.13</v>
      </c>
      <c r="L4115" s="95">
        <f t="shared" si="813"/>
        <v>240320</v>
      </c>
      <c r="P4115" s="84"/>
      <c r="Q4115" s="124"/>
      <c r="R4115" s="125"/>
      <c r="S4115" s="125"/>
      <c r="W4115" s="31"/>
      <c r="X4115" s="131"/>
    </row>
    <row r="4116" spans="1:24" ht="15" hidden="1" x14ac:dyDescent="0.25">
      <c r="A4116" s="21">
        <v>4802021</v>
      </c>
      <c r="B4116" s="139" t="s">
        <v>3837</v>
      </c>
      <c r="C4116" s="140"/>
      <c r="D4116" s="141">
        <v>46000000</v>
      </c>
      <c r="E4116" s="141">
        <f>+D4116</f>
        <v>46000000</v>
      </c>
      <c r="F4116" s="141"/>
      <c r="G4116" s="141"/>
      <c r="H4116" s="141"/>
      <c r="I4116" s="141"/>
      <c r="J4116" s="141"/>
      <c r="K4116" s="141"/>
      <c r="L4116" s="141">
        <f>+D4116</f>
        <v>46000000</v>
      </c>
      <c r="O4116" s="149">
        <f>+VLOOKUP(A4116,'[1]ANEXO 7 - PPTO VIG 2021'!$H$8:$AB$160,21,)-L4127</f>
        <v>-4913572</v>
      </c>
    </row>
    <row r="4117" spans="1:24" ht="15" hidden="1" x14ac:dyDescent="0.25">
      <c r="B4117" s="89">
        <v>44403.083333333336</v>
      </c>
      <c r="C4117" s="200" t="s">
        <v>3838</v>
      </c>
      <c r="E4117" s="93">
        <v>3500000</v>
      </c>
      <c r="G4117" s="93">
        <f t="shared" ref="G4117:G4127" si="814">+E4117</f>
        <v>3500000</v>
      </c>
      <c r="J4117" s="138">
        <v>29955.66</v>
      </c>
      <c r="K4117" s="25">
        <f t="shared" ref="K4117:K4127" si="815">+G4117-H4117-I4117-J4117</f>
        <v>3470044.34</v>
      </c>
      <c r="L4117" s="95">
        <f t="shared" ref="L4117:L4122" si="816">+L4116-G4117</f>
        <v>42500000</v>
      </c>
      <c r="P4117" s="55">
        <v>51854820</v>
      </c>
      <c r="Q4117" s="97">
        <v>44348</v>
      </c>
      <c r="R4117" s="14">
        <v>328600</v>
      </c>
      <c r="S4117" s="14">
        <v>420600</v>
      </c>
      <c r="T4117" s="3">
        <f>+L4116-2500000-10000000</f>
        <v>33500000</v>
      </c>
      <c r="U4117" s="3">
        <f>+T4117*40%</f>
        <v>13400000</v>
      </c>
    </row>
    <row r="4118" spans="1:24" ht="15" hidden="1" x14ac:dyDescent="0.25">
      <c r="B4118" s="89">
        <v>44419.083333333336</v>
      </c>
      <c r="C4118" s="200" t="s">
        <v>3839</v>
      </c>
      <c r="E4118" s="93">
        <v>5000000</v>
      </c>
      <c r="G4118" s="93">
        <f t="shared" si="814"/>
        <v>5000000</v>
      </c>
      <c r="J4118" s="138">
        <v>42793.8</v>
      </c>
      <c r="K4118" s="25">
        <f t="shared" si="815"/>
        <v>4957206.2</v>
      </c>
      <c r="L4118" s="95">
        <f t="shared" si="816"/>
        <v>37500000</v>
      </c>
      <c r="P4118" s="84">
        <v>1074869283</v>
      </c>
      <c r="Q4118" s="97">
        <v>44378</v>
      </c>
      <c r="R4118" s="125">
        <v>250000</v>
      </c>
      <c r="S4118" s="125">
        <v>320000</v>
      </c>
      <c r="U4118" s="3"/>
      <c r="W4118" s="31">
        <v>5000000</v>
      </c>
      <c r="X4118" s="131">
        <f>+E4118-W4118</f>
        <v>0</v>
      </c>
    </row>
    <row r="4119" spans="1:24" ht="15" hidden="1" x14ac:dyDescent="0.25">
      <c r="B4119" s="89">
        <v>44452.083333333336</v>
      </c>
      <c r="C4119" s="200" t="s">
        <v>3840</v>
      </c>
      <c r="E4119" s="93">
        <v>5000000</v>
      </c>
      <c r="G4119" s="93">
        <f t="shared" si="814"/>
        <v>5000000</v>
      </c>
      <c r="J4119" s="138">
        <v>42793.8</v>
      </c>
      <c r="K4119" s="25">
        <f t="shared" si="815"/>
        <v>4957206.2</v>
      </c>
      <c r="L4119" s="95">
        <f t="shared" si="816"/>
        <v>32500000</v>
      </c>
      <c r="P4119" s="84">
        <v>52900020</v>
      </c>
      <c r="Q4119" s="97">
        <v>44409</v>
      </c>
      <c r="R4119" s="125">
        <v>250000</v>
      </c>
      <c r="S4119" s="125">
        <v>320000</v>
      </c>
      <c r="U4119" s="3">
        <f>+U4117*12.5%</f>
        <v>1675000</v>
      </c>
      <c r="V4119" s="173" t="s">
        <v>2769</v>
      </c>
      <c r="W4119" s="31"/>
      <c r="X4119" s="131"/>
    </row>
    <row r="4120" spans="1:24" ht="15" hidden="1" x14ac:dyDescent="0.25">
      <c r="B4120" s="89">
        <v>44456.083333333336</v>
      </c>
      <c r="C4120" s="200" t="s">
        <v>3841</v>
      </c>
      <c r="E4120" s="93">
        <v>1357544</v>
      </c>
      <c r="G4120" s="93">
        <f t="shared" si="814"/>
        <v>1357544</v>
      </c>
      <c r="J4120" s="138">
        <v>9502.81</v>
      </c>
      <c r="K4120" s="25">
        <f t="shared" si="815"/>
        <v>1348041.19</v>
      </c>
      <c r="L4120" s="95">
        <f t="shared" si="816"/>
        <v>31142456</v>
      </c>
      <c r="P4120" s="84"/>
      <c r="Q4120" s="124"/>
      <c r="R4120" s="125">
        <v>0</v>
      </c>
      <c r="S4120" s="125">
        <v>0</v>
      </c>
      <c r="U4120" s="3">
        <f>+U4117*16%</f>
        <v>2144000</v>
      </c>
      <c r="V4120" s="172" t="s">
        <v>2771</v>
      </c>
      <c r="W4120" s="31"/>
      <c r="X4120" s="131"/>
    </row>
    <row r="4121" spans="1:24" ht="15" hidden="1" x14ac:dyDescent="0.25">
      <c r="B4121" s="89">
        <v>44481.083333333336</v>
      </c>
      <c r="C4121" s="200" t="s">
        <v>3842</v>
      </c>
      <c r="E4121" s="93">
        <v>5000000</v>
      </c>
      <c r="G4121" s="93">
        <f t="shared" si="814"/>
        <v>5000000</v>
      </c>
      <c r="J4121" s="138">
        <v>42793.8</v>
      </c>
      <c r="K4121" s="25">
        <f t="shared" si="815"/>
        <v>4957206.2</v>
      </c>
      <c r="L4121" s="95">
        <f t="shared" si="816"/>
        <v>26142456</v>
      </c>
      <c r="P4121" s="84">
        <v>53529003</v>
      </c>
      <c r="Q4121" s="97">
        <v>44440</v>
      </c>
      <c r="R4121" s="125">
        <v>250000</v>
      </c>
      <c r="S4121" s="125">
        <v>320000</v>
      </c>
      <c r="W4121" s="31"/>
      <c r="X4121" s="131"/>
    </row>
    <row r="4122" spans="1:24" ht="15" hidden="1" x14ac:dyDescent="0.25">
      <c r="B4122" s="89">
        <v>44517.125</v>
      </c>
      <c r="C4122" s="200" t="s">
        <v>3843</v>
      </c>
      <c r="E4122" s="93">
        <v>5000000</v>
      </c>
      <c r="G4122" s="93">
        <f t="shared" si="814"/>
        <v>5000000</v>
      </c>
      <c r="J4122" s="138">
        <v>42793.8</v>
      </c>
      <c r="K4122" s="25">
        <f t="shared" si="815"/>
        <v>4957206.2</v>
      </c>
      <c r="L4122" s="95">
        <f t="shared" si="816"/>
        <v>21142456</v>
      </c>
      <c r="P4122" s="84">
        <v>54371478</v>
      </c>
      <c r="Q4122" s="97">
        <v>44470</v>
      </c>
      <c r="R4122" s="125">
        <v>250000</v>
      </c>
      <c r="S4122" s="125">
        <v>320000</v>
      </c>
      <c r="W4122" s="31"/>
      <c r="X4122" s="131"/>
    </row>
    <row r="4123" spans="1:24" ht="15" hidden="1" x14ac:dyDescent="0.25">
      <c r="B4123" s="89">
        <v>44525.125</v>
      </c>
      <c r="C4123" s="200" t="s">
        <v>3844</v>
      </c>
      <c r="E4123" s="93">
        <v>1642500</v>
      </c>
      <c r="G4123" s="93">
        <f t="shared" si="814"/>
        <v>1642500</v>
      </c>
      <c r="I4123" s="138">
        <v>203017.85</v>
      </c>
      <c r="J4123" s="138">
        <v>8212.5</v>
      </c>
      <c r="K4123" s="25">
        <f t="shared" si="815"/>
        <v>1431269.65</v>
      </c>
      <c r="L4123" s="95">
        <f>+L4122-G4123</f>
        <v>19499956</v>
      </c>
      <c r="P4123" s="84"/>
      <c r="Q4123" s="124"/>
      <c r="R4123" s="125">
        <v>0</v>
      </c>
      <c r="S4123" s="125">
        <v>0</v>
      </c>
      <c r="W4123" s="31"/>
      <c r="X4123" s="131"/>
    </row>
    <row r="4124" spans="1:24" ht="15" hidden="1" x14ac:dyDescent="0.25">
      <c r="B4124" s="89">
        <v>44540.125</v>
      </c>
      <c r="C4124" s="200" t="s">
        <v>3845</v>
      </c>
      <c r="E4124" s="93">
        <v>5000000</v>
      </c>
      <c r="G4124" s="93">
        <f t="shared" si="814"/>
        <v>5000000</v>
      </c>
      <c r="J4124" s="138">
        <v>42793.8</v>
      </c>
      <c r="K4124" s="25">
        <f t="shared" si="815"/>
        <v>4957206.2</v>
      </c>
      <c r="L4124" s="95">
        <f>+L4123-G4124</f>
        <v>14499956</v>
      </c>
      <c r="P4124" s="84">
        <v>54368820</v>
      </c>
      <c r="Q4124" s="124">
        <v>44501</v>
      </c>
      <c r="R4124" s="125">
        <v>250000</v>
      </c>
      <c r="S4124" s="125">
        <v>320000</v>
      </c>
      <c r="W4124" s="31"/>
      <c r="X4124" s="131"/>
    </row>
    <row r="4125" spans="1:24" ht="15" hidden="1" x14ac:dyDescent="0.25">
      <c r="B4125" s="89">
        <v>44559.125</v>
      </c>
      <c r="C4125" s="200" t="s">
        <v>3846</v>
      </c>
      <c r="E4125" s="93">
        <v>5000000</v>
      </c>
      <c r="G4125" s="93">
        <f t="shared" si="814"/>
        <v>5000000</v>
      </c>
      <c r="J4125" s="138">
        <v>42793.8</v>
      </c>
      <c r="K4125" s="25">
        <f t="shared" si="815"/>
        <v>4957206.2</v>
      </c>
      <c r="L4125" s="95">
        <f>+L4124-G4125</f>
        <v>9499956</v>
      </c>
      <c r="P4125" s="84">
        <v>55376068</v>
      </c>
      <c r="Q4125" s="124">
        <v>44531</v>
      </c>
      <c r="R4125" s="125">
        <v>250000</v>
      </c>
      <c r="S4125" s="125">
        <v>320000</v>
      </c>
      <c r="W4125" s="31"/>
      <c r="X4125" s="131"/>
    </row>
    <row r="4126" spans="1:24" ht="15" hidden="1" x14ac:dyDescent="0.25">
      <c r="B4126" s="89">
        <v>44560.125</v>
      </c>
      <c r="C4126" s="200" t="s">
        <v>3847</v>
      </c>
      <c r="E4126" s="93">
        <v>1143284</v>
      </c>
      <c r="G4126" s="93">
        <f t="shared" si="814"/>
        <v>1143284</v>
      </c>
      <c r="J4126" s="138">
        <v>11432.84</v>
      </c>
      <c r="K4126" s="25">
        <f t="shared" si="815"/>
        <v>1131851.1599999999</v>
      </c>
      <c r="L4126" s="95">
        <f>+L4125-G4126</f>
        <v>8356672</v>
      </c>
      <c r="P4126" s="84"/>
      <c r="Q4126" s="124"/>
      <c r="R4126" s="178">
        <f>SUM(R4117:R4125)</f>
        <v>1828600</v>
      </c>
      <c r="S4126" s="177">
        <f>SUM(S4117:S4125)</f>
        <v>2340600</v>
      </c>
      <c r="W4126" s="31"/>
      <c r="X4126" s="131"/>
    </row>
    <row r="4127" spans="1:24" ht="15" hidden="1" x14ac:dyDescent="0.25">
      <c r="B4127" s="89">
        <v>44567.125</v>
      </c>
      <c r="C4127" s="200" t="s">
        <v>3848</v>
      </c>
      <c r="E4127" s="93">
        <v>3443100</v>
      </c>
      <c r="G4127" s="93">
        <f t="shared" si="814"/>
        <v>3443100</v>
      </c>
      <c r="I4127" s="138">
        <v>481247</v>
      </c>
      <c r="J4127" s="138">
        <v>29093.5</v>
      </c>
      <c r="K4127" s="25">
        <f t="shared" si="815"/>
        <v>2932759.5</v>
      </c>
      <c r="L4127" s="95">
        <f>+L4126-G4127</f>
        <v>4913572</v>
      </c>
      <c r="P4127" s="84"/>
      <c r="Q4127" s="124"/>
      <c r="R4127" s="125"/>
      <c r="S4127" s="125"/>
      <c r="W4127" s="31"/>
      <c r="X4127" s="131"/>
    </row>
    <row r="4128" spans="1:24" ht="15" hidden="1" x14ac:dyDescent="0.25">
      <c r="A4128" s="21">
        <v>4842021</v>
      </c>
      <c r="B4128" s="139" t="s">
        <v>3849</v>
      </c>
      <c r="C4128" s="140"/>
      <c r="D4128" s="141">
        <v>109530861</v>
      </c>
      <c r="E4128" s="141">
        <f>+D4128</f>
        <v>109530861</v>
      </c>
      <c r="F4128" s="141"/>
      <c r="G4128" s="141"/>
      <c r="H4128" s="141"/>
      <c r="I4128" s="141"/>
      <c r="J4128" s="141"/>
      <c r="K4128" s="141"/>
      <c r="L4128" s="141">
        <f>+D4128</f>
        <v>109530861</v>
      </c>
      <c r="O4128" s="149">
        <f>+VLOOKUP(A4128,'[1]ANEXO 7 - PPTO VIG 2021'!$H$8:$AB$160,21,)-L4140</f>
        <v>-11990644.9</v>
      </c>
    </row>
    <row r="4129" spans="1:24" ht="15" hidden="1" x14ac:dyDescent="0.25">
      <c r="B4129" s="89">
        <v>44403.083333333336</v>
      </c>
      <c r="C4129" s="62" t="s">
        <v>3850</v>
      </c>
      <c r="D4129" s="62"/>
      <c r="E4129" s="61">
        <v>12790123</v>
      </c>
      <c r="F4129" s="61"/>
      <c r="G4129" s="93">
        <f>+E4129</f>
        <v>12790123</v>
      </c>
      <c r="H4129" s="61">
        <v>306318</v>
      </c>
      <c r="I4129" s="61">
        <v>608192.37</v>
      </c>
      <c r="J4129" s="61">
        <v>92416.27</v>
      </c>
      <c r="K4129" s="25">
        <f t="shared" ref="K4129:K4140" si="817">+G4129-H4129-I4129-J4129</f>
        <v>11783196.360000001</v>
      </c>
      <c r="L4129" s="95">
        <f t="shared" ref="L4129:L4140" si="818">+L4128-G4129</f>
        <v>96740738</v>
      </c>
      <c r="P4129" s="55">
        <v>20808614</v>
      </c>
      <c r="Q4129" s="97">
        <v>44348</v>
      </c>
      <c r="R4129" s="14">
        <v>518000</v>
      </c>
      <c r="S4129" s="14">
        <v>704700</v>
      </c>
      <c r="T4129" s="3">
        <f>+L4128-20000000</f>
        <v>89530861</v>
      </c>
      <c r="U4129" s="3">
        <f>+T4131*40%</f>
        <v>29007998.964000002</v>
      </c>
    </row>
    <row r="4130" spans="1:24" ht="15" hidden="1" x14ac:dyDescent="0.25">
      <c r="B4130" s="89">
        <v>44434.083333333336</v>
      </c>
      <c r="C4130" s="62" t="s">
        <v>3851</v>
      </c>
      <c r="D4130" s="62"/>
      <c r="E4130" s="56">
        <v>12790123</v>
      </c>
      <c r="F4130" s="61"/>
      <c r="G4130" s="93">
        <f>+E4130</f>
        <v>12790123</v>
      </c>
      <c r="H4130" s="61">
        <v>306318</v>
      </c>
      <c r="I4130" s="61">
        <v>898883.91</v>
      </c>
      <c r="J4130" s="61">
        <v>91989.58</v>
      </c>
      <c r="K4130" s="25">
        <f t="shared" si="817"/>
        <v>11492931.51</v>
      </c>
      <c r="L4130" s="95">
        <f t="shared" si="818"/>
        <v>83950615</v>
      </c>
      <c r="P4130" s="55">
        <v>21210326</v>
      </c>
      <c r="Q4130" s="97">
        <v>44378</v>
      </c>
      <c r="R4130" s="14">
        <v>518000</v>
      </c>
      <c r="S4130" s="14">
        <v>704700</v>
      </c>
      <c r="T4130" s="3">
        <f>+T4129*0.19</f>
        <v>17010863.59</v>
      </c>
      <c r="U4130" s="3"/>
      <c r="W4130" s="31">
        <v>12790123</v>
      </c>
      <c r="X4130" s="131">
        <f>+E4130-W4130</f>
        <v>0</v>
      </c>
    </row>
    <row r="4131" spans="1:24" ht="15" hidden="1" x14ac:dyDescent="0.25">
      <c r="B4131" s="89">
        <v>44433.083333333336</v>
      </c>
      <c r="C4131" s="62" t="s">
        <v>3852</v>
      </c>
      <c r="D4131" s="62"/>
      <c r="E4131" s="56">
        <v>1651264</v>
      </c>
      <c r="F4131" s="61"/>
      <c r="G4131" s="93">
        <f t="shared" ref="G4131:G4140" si="819">+E4131</f>
        <v>1651264</v>
      </c>
      <c r="H4131" s="61">
        <v>39547.08</v>
      </c>
      <c r="I4131" s="61">
        <v>0</v>
      </c>
      <c r="J4131" s="61">
        <v>13876.17</v>
      </c>
      <c r="K4131" s="25">
        <f t="shared" si="817"/>
        <v>1597840.75</v>
      </c>
      <c r="L4131" s="95">
        <f t="shared" si="818"/>
        <v>82299351</v>
      </c>
      <c r="P4131" s="84"/>
      <c r="Q4131" s="124"/>
      <c r="R4131" s="125">
        <v>0</v>
      </c>
      <c r="S4131" s="125">
        <v>0</v>
      </c>
      <c r="T4131" s="3">
        <f>+T4129-T4130</f>
        <v>72519997.409999996</v>
      </c>
      <c r="U4131" s="3">
        <f>+U4129*12.5%</f>
        <v>3625999.8705000002</v>
      </c>
      <c r="V4131" s="173" t="s">
        <v>2769</v>
      </c>
      <c r="W4131" s="31">
        <v>1651264</v>
      </c>
      <c r="X4131" s="131">
        <f>+E4131-W4131</f>
        <v>0</v>
      </c>
    </row>
    <row r="4132" spans="1:24" ht="15" hidden="1" x14ac:dyDescent="0.25">
      <c r="B4132" s="89">
        <v>44463.083333333336</v>
      </c>
      <c r="C4132" s="62" t="s">
        <v>3853</v>
      </c>
      <c r="D4132" s="62"/>
      <c r="E4132" s="56">
        <v>12790123</v>
      </c>
      <c r="F4132" s="61"/>
      <c r="G4132" s="93">
        <f t="shared" si="819"/>
        <v>12790123</v>
      </c>
      <c r="H4132" s="61">
        <v>306318</v>
      </c>
      <c r="I4132" s="61">
        <v>598456.05000000005</v>
      </c>
      <c r="J4132" s="61">
        <v>91989.58</v>
      </c>
      <c r="K4132" s="25">
        <f t="shared" si="817"/>
        <v>11793359.369999999</v>
      </c>
      <c r="L4132" s="95">
        <f t="shared" si="818"/>
        <v>69509228</v>
      </c>
      <c r="P4132" s="84">
        <v>21210342</v>
      </c>
      <c r="Q4132" s="97">
        <v>44409</v>
      </c>
      <c r="R4132" s="125">
        <v>537500</v>
      </c>
      <c r="S4132" s="125">
        <v>731000</v>
      </c>
      <c r="U4132" s="3">
        <f>+U4129*16%</f>
        <v>4641279.8342400007</v>
      </c>
      <c r="V4132" s="172" t="s">
        <v>2771</v>
      </c>
      <c r="W4132" s="31"/>
      <c r="X4132" s="131"/>
    </row>
    <row r="4133" spans="1:24" ht="15" hidden="1" x14ac:dyDescent="0.25">
      <c r="B4133" s="89">
        <v>44495.083333333336</v>
      </c>
      <c r="C4133" s="62" t="s">
        <v>3854</v>
      </c>
      <c r="D4133" s="62"/>
      <c r="E4133" s="56">
        <v>12790123</v>
      </c>
      <c r="F4133" s="61"/>
      <c r="G4133" s="93">
        <f t="shared" si="819"/>
        <v>12790123</v>
      </c>
      <c r="H4133" s="61">
        <v>306318</v>
      </c>
      <c r="I4133" s="61">
        <v>598456.05000000005</v>
      </c>
      <c r="J4133" s="61">
        <v>91989.58</v>
      </c>
      <c r="K4133" s="25">
        <f t="shared" si="817"/>
        <v>11793359.369999999</v>
      </c>
      <c r="L4133" s="95">
        <f t="shared" si="818"/>
        <v>56719105</v>
      </c>
      <c r="P4133" s="84">
        <v>21219818</v>
      </c>
      <c r="Q4133" s="97">
        <v>44440</v>
      </c>
      <c r="R4133" s="125">
        <v>537500</v>
      </c>
      <c r="S4133" s="125">
        <v>731000</v>
      </c>
      <c r="W4133" s="31"/>
      <c r="X4133" s="131"/>
    </row>
    <row r="4134" spans="1:24" ht="15" hidden="1" x14ac:dyDescent="0.25">
      <c r="B4134" s="89">
        <v>44516.125</v>
      </c>
      <c r="C4134" s="62" t="s">
        <v>3855</v>
      </c>
      <c r="D4134" s="62"/>
      <c r="E4134" s="56">
        <v>12790123</v>
      </c>
      <c r="F4134" s="61"/>
      <c r="G4134" s="93">
        <f t="shared" si="819"/>
        <v>12790123</v>
      </c>
      <c r="H4134" s="61">
        <v>306318</v>
      </c>
      <c r="I4134" s="61">
        <v>607484.4</v>
      </c>
      <c r="J4134" s="61">
        <v>91989.58</v>
      </c>
      <c r="K4134" s="25">
        <f t="shared" si="817"/>
        <v>11784331.02</v>
      </c>
      <c r="L4134" s="95">
        <f t="shared" si="818"/>
        <v>43928982</v>
      </c>
      <c r="P4134" s="84">
        <v>21481113</v>
      </c>
      <c r="Q4134" s="97">
        <v>44470</v>
      </c>
      <c r="R4134" s="125">
        <v>537500</v>
      </c>
      <c r="S4134" s="125">
        <v>731000</v>
      </c>
      <c r="U4134" s="212">
        <f>+U4131-R4137</f>
        <v>-97500.129499999806</v>
      </c>
      <c r="W4134" s="31"/>
      <c r="X4134" s="131"/>
    </row>
    <row r="4135" spans="1:24" ht="15" hidden="1" x14ac:dyDescent="0.25">
      <c r="B4135" s="89">
        <v>44540.125</v>
      </c>
      <c r="C4135" s="62" t="s">
        <v>3856</v>
      </c>
      <c r="D4135" s="62"/>
      <c r="E4135" s="56">
        <v>12790123</v>
      </c>
      <c r="F4135" s="61"/>
      <c r="G4135" s="93">
        <f t="shared" si="819"/>
        <v>12790123</v>
      </c>
      <c r="H4135" s="61">
        <v>306318</v>
      </c>
      <c r="I4135" s="61">
        <v>607484.4</v>
      </c>
      <c r="J4135" s="61">
        <v>91989.58</v>
      </c>
      <c r="K4135" s="25">
        <f t="shared" si="817"/>
        <v>11784331.02</v>
      </c>
      <c r="L4135" s="95">
        <f t="shared" si="818"/>
        <v>31138859</v>
      </c>
      <c r="P4135" s="84">
        <v>21751439</v>
      </c>
      <c r="Q4135" s="124">
        <v>44501</v>
      </c>
      <c r="R4135" s="125">
        <v>537500</v>
      </c>
      <c r="S4135" s="125">
        <v>731000</v>
      </c>
      <c r="U4135" s="212">
        <f>+U4132-S4137</f>
        <v>-423120.16575999931</v>
      </c>
      <c r="W4135" s="31"/>
      <c r="X4135" s="131"/>
    </row>
    <row r="4136" spans="1:24" ht="15" hidden="1" x14ac:dyDescent="0.25">
      <c r="B4136" s="89">
        <v>44560.125</v>
      </c>
      <c r="C4136" s="62" t="s">
        <v>3857</v>
      </c>
      <c r="D4136" s="62"/>
      <c r="E4136" s="56">
        <v>12790123</v>
      </c>
      <c r="F4136" s="61"/>
      <c r="G4136" s="93">
        <f t="shared" si="819"/>
        <v>12790123</v>
      </c>
      <c r="H4136" s="61">
        <v>306318</v>
      </c>
      <c r="I4136" s="61">
        <v>833192.43</v>
      </c>
      <c r="J4136" s="61">
        <v>91989.58</v>
      </c>
      <c r="K4136" s="25">
        <f t="shared" si="817"/>
        <v>11558622.99</v>
      </c>
      <c r="L4136" s="95">
        <f t="shared" si="818"/>
        <v>18348736</v>
      </c>
      <c r="P4136" s="84">
        <v>21930158</v>
      </c>
      <c r="Q4136" s="124">
        <v>44531</v>
      </c>
      <c r="R4136" s="125">
        <v>537500</v>
      </c>
      <c r="S4136" s="125">
        <v>731000</v>
      </c>
      <c r="W4136" s="31"/>
      <c r="X4136" s="131"/>
    </row>
    <row r="4137" spans="1:24" ht="15" hidden="1" x14ac:dyDescent="0.25">
      <c r="B4137" s="89">
        <v>44564.125</v>
      </c>
      <c r="C4137" s="62" t="s">
        <v>3858</v>
      </c>
      <c r="D4137" s="62"/>
      <c r="E4137" s="56">
        <v>1678008.24</v>
      </c>
      <c r="F4137" s="61"/>
      <c r="G4137" s="93">
        <f t="shared" si="819"/>
        <v>1678008.24</v>
      </c>
      <c r="H4137" s="61">
        <v>40187.589999999997</v>
      </c>
      <c r="I4137" s="61">
        <v>0</v>
      </c>
      <c r="J4137" s="61">
        <v>9306.6</v>
      </c>
      <c r="K4137" s="25">
        <f t="shared" si="817"/>
        <v>1628514.0499999998</v>
      </c>
      <c r="L4137" s="95">
        <f t="shared" si="818"/>
        <v>16670727.76</v>
      </c>
      <c r="P4137" s="84"/>
      <c r="Q4137" s="124"/>
      <c r="R4137" s="178">
        <f>SUM(R4129:R4136)</f>
        <v>3723500</v>
      </c>
      <c r="S4137" s="177">
        <f>SUM(S4129:S4136)</f>
        <v>5064400</v>
      </c>
      <c r="W4137" s="31"/>
      <c r="X4137" s="131"/>
    </row>
    <row r="4138" spans="1:24" ht="15" hidden="1" x14ac:dyDescent="0.25">
      <c r="B4138" s="89">
        <v>44564.125</v>
      </c>
      <c r="C4138" s="62" t="s">
        <v>3859</v>
      </c>
      <c r="D4138" s="62"/>
      <c r="E4138" s="56">
        <v>1811247.86</v>
      </c>
      <c r="F4138" s="61"/>
      <c r="G4138" s="93">
        <f t="shared" si="819"/>
        <v>1811247.86</v>
      </c>
      <c r="H4138" s="61">
        <v>43378.63</v>
      </c>
      <c r="I4138" s="61">
        <v>0</v>
      </c>
      <c r="J4138" s="61">
        <v>15220.57</v>
      </c>
      <c r="K4138" s="25">
        <f t="shared" si="817"/>
        <v>1752648.6600000001</v>
      </c>
      <c r="L4138" s="95">
        <f t="shared" si="818"/>
        <v>14859479.9</v>
      </c>
      <c r="P4138" s="84"/>
      <c r="Q4138" s="124"/>
      <c r="R4138" s="125"/>
      <c r="S4138" s="125"/>
      <c r="W4138" s="31"/>
      <c r="X4138" s="131"/>
    </row>
    <row r="4139" spans="1:24" ht="15" hidden="1" x14ac:dyDescent="0.25">
      <c r="B4139" s="89">
        <v>44564.125</v>
      </c>
      <c r="C4139" s="62" t="s">
        <v>3860</v>
      </c>
      <c r="D4139" s="62"/>
      <c r="E4139" s="56">
        <v>1221482</v>
      </c>
      <c r="F4139" s="61"/>
      <c r="G4139" s="93">
        <f t="shared" si="819"/>
        <v>1221482</v>
      </c>
      <c r="H4139" s="61">
        <v>29254.05</v>
      </c>
      <c r="I4139" s="61">
        <v>0</v>
      </c>
      <c r="J4139" s="61">
        <v>6158.73</v>
      </c>
      <c r="K4139" s="25">
        <f t="shared" si="817"/>
        <v>1186069.22</v>
      </c>
      <c r="L4139" s="95">
        <f t="shared" si="818"/>
        <v>13637997.9</v>
      </c>
      <c r="P4139" s="84"/>
      <c r="Q4139" s="124"/>
      <c r="R4139" s="125"/>
      <c r="S4139" s="125"/>
      <c r="W4139" s="31"/>
      <c r="X4139" s="131"/>
    </row>
    <row r="4140" spans="1:24" ht="15" hidden="1" x14ac:dyDescent="0.25">
      <c r="B4140" s="89">
        <v>44564.125</v>
      </c>
      <c r="C4140" s="62" t="s">
        <v>3861</v>
      </c>
      <c r="D4140" s="62"/>
      <c r="E4140" s="56">
        <v>1647353</v>
      </c>
      <c r="F4140" s="61"/>
      <c r="G4140" s="93">
        <f t="shared" si="819"/>
        <v>1647353</v>
      </c>
      <c r="H4140" s="61">
        <v>39453.449999999997</v>
      </c>
      <c r="I4140" s="61">
        <v>0</v>
      </c>
      <c r="J4140" s="61">
        <v>11074.64</v>
      </c>
      <c r="K4140" s="25">
        <f t="shared" si="817"/>
        <v>1596824.9100000001</v>
      </c>
      <c r="L4140" s="95">
        <f t="shared" si="818"/>
        <v>11990644.9</v>
      </c>
      <c r="P4140" s="84"/>
      <c r="Q4140" s="124"/>
      <c r="R4140" s="125"/>
      <c r="S4140" s="125"/>
      <c r="W4140" s="31"/>
      <c r="X4140" s="131"/>
    </row>
    <row r="4141" spans="1:24" ht="15" hidden="1" x14ac:dyDescent="0.25">
      <c r="A4141" s="21">
        <v>5192021</v>
      </c>
      <c r="B4141" s="139" t="s">
        <v>3862</v>
      </c>
      <c r="C4141" s="140"/>
      <c r="D4141" s="141">
        <v>46750000</v>
      </c>
      <c r="E4141" s="141">
        <f>+D4141</f>
        <v>46750000</v>
      </c>
      <c r="F4141" s="141"/>
      <c r="G4141" s="141"/>
      <c r="H4141" s="141"/>
      <c r="I4141" s="141"/>
      <c r="J4141" s="141"/>
      <c r="K4141" s="141"/>
      <c r="L4141" s="141">
        <f>+D4141</f>
        <v>46750000</v>
      </c>
      <c r="O4141" s="149">
        <f>+VLOOKUP(A4141,'[1]ANEXO 7 - PPTO VIG 2021'!$H$8:$AB$160,21,)-L4147</f>
        <v>-1416667</v>
      </c>
    </row>
    <row r="4142" spans="1:24" ht="15" hidden="1" x14ac:dyDescent="0.25">
      <c r="B4142" s="89">
        <v>44420.083333333336</v>
      </c>
      <c r="C4142" s="200" t="s">
        <v>3863</v>
      </c>
      <c r="E4142" s="56">
        <v>2833333</v>
      </c>
      <c r="F4142" s="61"/>
      <c r="G4142" s="93">
        <f t="shared" ref="G4142:G4147" si="820">+E4142</f>
        <v>2833333</v>
      </c>
      <c r="J4142" s="138">
        <v>24249.82</v>
      </c>
      <c r="K4142" s="25">
        <f t="shared" ref="K4142:K4147" si="821">+G4142-H4142-I4142-J4142</f>
        <v>2809083.18</v>
      </c>
      <c r="L4142" s="95">
        <f t="shared" ref="L4142:L4147" si="822">+L4141-G4142</f>
        <v>43916667</v>
      </c>
      <c r="P4142" s="21">
        <v>4404025458</v>
      </c>
      <c r="Q4142" s="98">
        <v>44378</v>
      </c>
      <c r="R4142" s="3">
        <v>425000</v>
      </c>
      <c r="S4142" s="3">
        <v>544000</v>
      </c>
      <c r="T4142" s="3">
        <f>+L4141-1416667</f>
        <v>45333333</v>
      </c>
      <c r="U4142" s="3">
        <f>+T4142*40%</f>
        <v>18133333.199999999</v>
      </c>
      <c r="W4142" s="31">
        <v>2833333</v>
      </c>
      <c r="X4142" s="131">
        <f>+E4142-W4142</f>
        <v>0</v>
      </c>
    </row>
    <row r="4143" spans="1:24" ht="15" hidden="1" x14ac:dyDescent="0.25">
      <c r="B4143" s="89">
        <v>44442.083333333336</v>
      </c>
      <c r="C4143" s="200" t="s">
        <v>3864</v>
      </c>
      <c r="E4143" s="56">
        <v>8500000</v>
      </c>
      <c r="F4143" s="61"/>
      <c r="G4143" s="93">
        <f t="shared" si="820"/>
        <v>8500000</v>
      </c>
      <c r="I4143" s="138">
        <v>290826.34999999998</v>
      </c>
      <c r="J4143" s="138">
        <v>72749.460000000006</v>
      </c>
      <c r="K4143" s="25">
        <f t="shared" si="821"/>
        <v>8136424.1900000004</v>
      </c>
      <c r="L4143" s="95">
        <f t="shared" si="822"/>
        <v>35416667</v>
      </c>
      <c r="P4143" s="21">
        <v>7808283710</v>
      </c>
      <c r="Q4143" s="98">
        <v>44409</v>
      </c>
      <c r="R4143" s="3">
        <v>983800</v>
      </c>
      <c r="S4143" s="3">
        <v>1338100</v>
      </c>
      <c r="U4143" s="3"/>
      <c r="W4143" s="31"/>
      <c r="X4143" s="131"/>
    </row>
    <row r="4144" spans="1:24" ht="15" hidden="1" x14ac:dyDescent="0.25">
      <c r="B4144" s="89">
        <v>44474.083333333336</v>
      </c>
      <c r="C4144" s="200" t="s">
        <v>3865</v>
      </c>
      <c r="E4144" s="56">
        <v>8500000</v>
      </c>
      <c r="F4144" s="61"/>
      <c r="G4144" s="93">
        <f t="shared" si="820"/>
        <v>8500000</v>
      </c>
      <c r="I4144" s="138">
        <v>530156.02</v>
      </c>
      <c r="J4144" s="138">
        <v>78004.5</v>
      </c>
      <c r="K4144" s="25">
        <f t="shared" si="821"/>
        <v>7891839.4800000004</v>
      </c>
      <c r="L4144" s="95">
        <f t="shared" si="822"/>
        <v>26916667</v>
      </c>
      <c r="P4144" s="21">
        <v>4412500440</v>
      </c>
      <c r="Q4144" s="98">
        <v>44440</v>
      </c>
      <c r="R4144" s="3">
        <v>983800</v>
      </c>
      <c r="S4144" s="3">
        <v>1338100</v>
      </c>
      <c r="U4144" s="3">
        <f>+U4142*12.5%</f>
        <v>2266666.65</v>
      </c>
      <c r="V4144" s="173" t="s">
        <v>2769</v>
      </c>
      <c r="W4144" s="31"/>
      <c r="X4144" s="131"/>
    </row>
    <row r="4145" spans="1:24" ht="15" hidden="1" x14ac:dyDescent="0.25">
      <c r="B4145" s="89">
        <v>44503.083333333336</v>
      </c>
      <c r="C4145" s="200" t="s">
        <v>3866</v>
      </c>
      <c r="E4145" s="56">
        <v>8500000</v>
      </c>
      <c r="F4145" s="61"/>
      <c r="G4145" s="93">
        <f t="shared" si="820"/>
        <v>8500000</v>
      </c>
      <c r="I4145" s="138">
        <v>530156.02</v>
      </c>
      <c r="J4145" s="138">
        <v>78004.5</v>
      </c>
      <c r="K4145" s="25">
        <f t="shared" si="821"/>
        <v>7891839.4800000004</v>
      </c>
      <c r="L4145" s="95">
        <f t="shared" si="822"/>
        <v>18416667</v>
      </c>
      <c r="P4145" s="21">
        <v>7814759166</v>
      </c>
      <c r="Q4145" s="98">
        <v>44470</v>
      </c>
      <c r="R4145" s="3">
        <v>425000</v>
      </c>
      <c r="W4145" s="31"/>
      <c r="X4145" s="131"/>
    </row>
    <row r="4146" spans="1:24" ht="15" hidden="1" x14ac:dyDescent="0.25">
      <c r="B4146" s="89">
        <v>44533.125</v>
      </c>
      <c r="C4146" s="200" t="s">
        <v>3867</v>
      </c>
      <c r="E4146" s="56">
        <v>8500000</v>
      </c>
      <c r="F4146" s="61"/>
      <c r="G4146" s="93">
        <f t="shared" si="820"/>
        <v>8500000</v>
      </c>
      <c r="I4146" s="138">
        <v>530156.02</v>
      </c>
      <c r="J4146" s="138">
        <v>78004.5</v>
      </c>
      <c r="K4146" s="25">
        <f t="shared" si="821"/>
        <v>7891839.4800000004</v>
      </c>
      <c r="L4146" s="95">
        <f t="shared" si="822"/>
        <v>9916667</v>
      </c>
      <c r="P4146" s="21">
        <v>7818180820</v>
      </c>
      <c r="Q4146" s="98">
        <v>44501</v>
      </c>
      <c r="R4146" s="3">
        <v>425000</v>
      </c>
      <c r="W4146" s="31"/>
      <c r="X4146" s="131"/>
    </row>
    <row r="4147" spans="1:24" ht="15" hidden="1" x14ac:dyDescent="0.25">
      <c r="B4147" s="89">
        <v>44553.125</v>
      </c>
      <c r="C4147" s="200" t="s">
        <v>3868</v>
      </c>
      <c r="E4147" s="56">
        <v>8500000</v>
      </c>
      <c r="F4147" s="61"/>
      <c r="G4147" s="93">
        <f t="shared" si="820"/>
        <v>8500000</v>
      </c>
      <c r="I4147" s="138">
        <v>530156.02</v>
      </c>
      <c r="J4147" s="138">
        <v>78004.5</v>
      </c>
      <c r="K4147" s="25">
        <f t="shared" si="821"/>
        <v>7891839.4800000004</v>
      </c>
      <c r="L4147" s="95">
        <f t="shared" si="822"/>
        <v>1416667</v>
      </c>
      <c r="P4147" s="21">
        <v>7820244666</v>
      </c>
      <c r="Q4147" s="98">
        <v>44531</v>
      </c>
      <c r="R4147" s="3">
        <v>425000</v>
      </c>
      <c r="W4147" s="31"/>
      <c r="X4147" s="131"/>
    </row>
    <row r="4148" spans="1:24" ht="15" hidden="1" x14ac:dyDescent="0.25">
      <c r="B4148" s="89"/>
      <c r="E4148" s="56"/>
      <c r="F4148" s="61"/>
      <c r="G4148" s="93"/>
      <c r="K4148" s="25"/>
      <c r="L4148" s="95"/>
      <c r="Q4148" s="98"/>
      <c r="R4148" s="99">
        <f>SUM(R4142:R4147)</f>
        <v>3667600</v>
      </c>
      <c r="W4148" s="31"/>
      <c r="X4148" s="131"/>
    </row>
    <row r="4149" spans="1:24" ht="15" hidden="1" x14ac:dyDescent="0.25">
      <c r="A4149" s="21">
        <v>14620211</v>
      </c>
      <c r="B4149" s="139" t="s">
        <v>3869</v>
      </c>
      <c r="C4149" s="140"/>
      <c r="D4149" s="141">
        <v>36200000</v>
      </c>
      <c r="E4149" s="141">
        <f>+D4149</f>
        <v>36200000</v>
      </c>
      <c r="F4149" s="141"/>
      <c r="G4149" s="141"/>
      <c r="H4149" s="141"/>
      <c r="I4149" s="141"/>
      <c r="J4149" s="141"/>
      <c r="K4149" s="141"/>
      <c r="L4149" s="141">
        <f>+D4149</f>
        <v>36200000</v>
      </c>
      <c r="O4149" s="149">
        <f>+VLOOKUP(A4149,'[1]ANEXO 7 - PPTO VIG 2021'!$H$8:$AB$160,21,)-L4155</f>
        <v>-400000</v>
      </c>
    </row>
    <row r="4150" spans="1:24" ht="15" hidden="1" x14ac:dyDescent="0.25">
      <c r="B4150" s="89">
        <v>44419.083333333336</v>
      </c>
      <c r="C4150" s="92" t="s">
        <v>3870</v>
      </c>
      <c r="D4150" s="23"/>
      <c r="E4150" s="91">
        <v>5800000</v>
      </c>
      <c r="F4150" s="93"/>
      <c r="G4150" s="91">
        <f t="shared" ref="G4150:G4155" si="823">+E4150</f>
        <v>5800000</v>
      </c>
      <c r="H4150" s="94"/>
      <c r="I4150" s="91">
        <v>75181.09</v>
      </c>
      <c r="J4150" s="91">
        <v>49640.81</v>
      </c>
      <c r="K4150" s="25">
        <f t="shared" ref="K4150:K4155" si="824">+G4150-H4150-I4150-J4150</f>
        <v>5675178.1000000006</v>
      </c>
      <c r="L4150" s="95">
        <f t="shared" ref="L4150:L4155" si="825">+L4149-G4150</f>
        <v>30400000</v>
      </c>
      <c r="M4150" s="20"/>
      <c r="N4150" s="20"/>
      <c r="P4150" s="84"/>
      <c r="Q4150" s="174"/>
      <c r="R4150" s="125"/>
      <c r="S4150" s="125"/>
      <c r="W4150" s="31">
        <v>5800000</v>
      </c>
      <c r="X4150" s="131">
        <f>+E4150-W4150</f>
        <v>0</v>
      </c>
    </row>
    <row r="4151" spans="1:24" ht="15" hidden="1" x14ac:dyDescent="0.25">
      <c r="B4151" s="89">
        <v>44442.083333333336</v>
      </c>
      <c r="C4151" s="92" t="s">
        <v>3871</v>
      </c>
      <c r="D4151" s="23"/>
      <c r="E4151" s="91">
        <v>6000000</v>
      </c>
      <c r="F4151" s="93"/>
      <c r="G4151" s="91">
        <f t="shared" si="823"/>
        <v>6000000</v>
      </c>
      <c r="H4151" s="94"/>
      <c r="I4151" s="91">
        <v>100375.1</v>
      </c>
      <c r="J4151" s="91">
        <v>51352.56</v>
      </c>
      <c r="K4151" s="25">
        <f t="shared" si="824"/>
        <v>5848272.3400000008</v>
      </c>
      <c r="L4151" s="95">
        <f t="shared" si="825"/>
        <v>24400000</v>
      </c>
      <c r="M4151" s="20"/>
      <c r="N4151" s="20"/>
      <c r="P4151" s="84">
        <v>52852271</v>
      </c>
      <c r="Q4151" s="98">
        <v>44409</v>
      </c>
      <c r="R4151" s="125">
        <v>300000</v>
      </c>
      <c r="S4151" s="125">
        <v>384000</v>
      </c>
      <c r="W4151" s="31"/>
      <c r="X4151" s="131"/>
    </row>
    <row r="4152" spans="1:24" ht="15" hidden="1" x14ac:dyDescent="0.25">
      <c r="B4152" s="89">
        <v>44482.083333333336</v>
      </c>
      <c r="C4152" s="92" t="s">
        <v>3872</v>
      </c>
      <c r="D4152" s="23"/>
      <c r="E4152" s="91">
        <v>6000000</v>
      </c>
      <c r="F4152" s="93"/>
      <c r="G4152" s="91">
        <f t="shared" si="823"/>
        <v>6000000</v>
      </c>
      <c r="H4152" s="94"/>
      <c r="I4152" s="91">
        <v>100375.1</v>
      </c>
      <c r="J4152" s="91">
        <v>51352.56</v>
      </c>
      <c r="K4152" s="25">
        <f t="shared" si="824"/>
        <v>5848272.3400000008</v>
      </c>
      <c r="L4152" s="95">
        <f t="shared" si="825"/>
        <v>18400000</v>
      </c>
      <c r="M4152" s="20"/>
      <c r="N4152" s="20"/>
      <c r="P4152" s="84">
        <v>53450985</v>
      </c>
      <c r="Q4152" s="98">
        <v>44440</v>
      </c>
      <c r="R4152" s="125">
        <v>300000</v>
      </c>
      <c r="S4152" s="125">
        <v>384000</v>
      </c>
      <c r="W4152" s="31"/>
      <c r="X4152" s="131"/>
    </row>
    <row r="4153" spans="1:24" ht="15" hidden="1" x14ac:dyDescent="0.25">
      <c r="B4153" s="89">
        <v>44518.125</v>
      </c>
      <c r="C4153" s="92" t="s">
        <v>3873</v>
      </c>
      <c r="D4153" s="23"/>
      <c r="E4153" s="91">
        <v>6000000</v>
      </c>
      <c r="F4153" s="93"/>
      <c r="G4153" s="91">
        <f t="shared" si="823"/>
        <v>6000000</v>
      </c>
      <c r="H4153" s="94"/>
      <c r="I4153" s="91">
        <v>100389.37</v>
      </c>
      <c r="J4153" s="91">
        <v>51352.56</v>
      </c>
      <c r="K4153" s="25">
        <f t="shared" si="824"/>
        <v>5848258.0700000003</v>
      </c>
      <c r="L4153" s="95">
        <f t="shared" si="825"/>
        <v>12400000</v>
      </c>
      <c r="M4153" s="20"/>
      <c r="N4153" s="20"/>
      <c r="P4153" s="84">
        <v>53924509</v>
      </c>
      <c r="Q4153" s="98">
        <v>44470</v>
      </c>
      <c r="R4153" s="125">
        <v>300000</v>
      </c>
      <c r="S4153" s="125">
        <v>384000</v>
      </c>
      <c r="W4153" s="31"/>
      <c r="X4153" s="131"/>
    </row>
    <row r="4154" spans="1:24" ht="15" hidden="1" x14ac:dyDescent="0.25">
      <c r="B4154" s="89">
        <v>44536.125</v>
      </c>
      <c r="C4154" s="92" t="s">
        <v>3874</v>
      </c>
      <c r="D4154" s="23"/>
      <c r="E4154" s="91">
        <v>6000000</v>
      </c>
      <c r="F4154" s="93"/>
      <c r="G4154" s="91">
        <f t="shared" si="823"/>
        <v>6000000</v>
      </c>
      <c r="H4154" s="94"/>
      <c r="I4154" s="91">
        <v>100375.1</v>
      </c>
      <c r="J4154" s="91">
        <v>51352.56</v>
      </c>
      <c r="K4154" s="25">
        <f t="shared" si="824"/>
        <v>5848272.3400000008</v>
      </c>
      <c r="L4154" s="95">
        <f t="shared" si="825"/>
        <v>6400000</v>
      </c>
      <c r="M4154" s="20"/>
      <c r="N4154" s="20"/>
      <c r="P4154" s="84">
        <v>54580927</v>
      </c>
      <c r="Q4154" s="98">
        <v>44501</v>
      </c>
      <c r="R4154" s="125">
        <v>300000</v>
      </c>
      <c r="S4154" s="125">
        <v>384000</v>
      </c>
      <c r="W4154" s="31"/>
      <c r="X4154" s="131"/>
    </row>
    <row r="4155" spans="1:24" ht="15" hidden="1" x14ac:dyDescent="0.25">
      <c r="B4155" s="89">
        <v>44573.125</v>
      </c>
      <c r="C4155" s="92" t="s">
        <v>3875</v>
      </c>
      <c r="D4155" s="23"/>
      <c r="E4155" s="91">
        <v>6000000</v>
      </c>
      <c r="F4155" s="93"/>
      <c r="G4155" s="91">
        <f t="shared" si="823"/>
        <v>6000000</v>
      </c>
      <c r="H4155" s="94"/>
      <c r="I4155" s="91">
        <v>69762.31</v>
      </c>
      <c r="J4155" s="91">
        <v>40720.559999999998</v>
      </c>
      <c r="K4155" s="25">
        <f t="shared" si="824"/>
        <v>5889517.1300000008</v>
      </c>
      <c r="L4155" s="95">
        <f t="shared" si="825"/>
        <v>400000</v>
      </c>
      <c r="M4155" s="20"/>
      <c r="N4155" s="20"/>
      <c r="P4155" s="84"/>
      <c r="Q4155" s="98"/>
      <c r="R4155" s="125"/>
      <c r="S4155" s="125"/>
      <c r="W4155" s="31"/>
      <c r="X4155" s="131"/>
    </row>
    <row r="4156" spans="1:24" ht="15" hidden="1" x14ac:dyDescent="0.25">
      <c r="A4156" s="21">
        <v>5012021</v>
      </c>
      <c r="B4156" s="139" t="s">
        <v>3876</v>
      </c>
      <c r="C4156" s="140"/>
      <c r="D4156" s="141">
        <v>24369800</v>
      </c>
      <c r="E4156" s="141">
        <f>+D4156</f>
        <v>24369800</v>
      </c>
      <c r="F4156" s="141"/>
      <c r="G4156" s="141"/>
      <c r="H4156" s="141"/>
      <c r="I4156" s="141"/>
      <c r="J4156" s="141"/>
      <c r="K4156" s="141"/>
      <c r="L4156" s="141">
        <f>+D4156</f>
        <v>24369800</v>
      </c>
      <c r="O4156" s="149">
        <f>+VLOOKUP(A4156,'[1]ANEXO 7 - PPTO VIG 2021'!$H$8:$AB$160,21,)-L4163</f>
        <v>-874814</v>
      </c>
    </row>
    <row r="4157" spans="1:24" ht="15" hidden="1" x14ac:dyDescent="0.25">
      <c r="B4157" s="89">
        <v>44418.083333333336</v>
      </c>
      <c r="C4157" s="62" t="s">
        <v>3877</v>
      </c>
      <c r="E4157" s="93">
        <v>999786</v>
      </c>
      <c r="G4157" s="93">
        <f t="shared" ref="G4157:G4163" si="826">+E4157</f>
        <v>999786</v>
      </c>
      <c r="J4157" s="138">
        <v>8556.93</v>
      </c>
      <c r="K4157" s="25">
        <f t="shared" ref="K4157:K4163" si="827">+G4157-H4157-I4157-J4157</f>
        <v>991229.07</v>
      </c>
      <c r="L4157" s="95">
        <f t="shared" ref="L4157:L4162" si="828">+L4156-G4157</f>
        <v>23370014</v>
      </c>
      <c r="P4157" s="21">
        <v>21003167</v>
      </c>
      <c r="Q4157" s="98">
        <v>44378</v>
      </c>
      <c r="R4157" s="3">
        <v>50000</v>
      </c>
      <c r="S4157" s="3">
        <v>64000</v>
      </c>
      <c r="T4157" s="3">
        <f>+L4156-874814</f>
        <v>23494986</v>
      </c>
      <c r="U4157" s="3">
        <f>+T4157*40%</f>
        <v>9397994.4000000004</v>
      </c>
      <c r="W4157" s="31">
        <v>999786</v>
      </c>
      <c r="X4157" s="131">
        <f>+E4157-W4157</f>
        <v>0</v>
      </c>
    </row>
    <row r="4158" spans="1:24" ht="15" hidden="1" x14ac:dyDescent="0.25">
      <c r="B4158" s="89">
        <v>44419.083333333336</v>
      </c>
      <c r="C4158" s="62" t="s">
        <v>3878</v>
      </c>
      <c r="E4158" s="93">
        <v>3749200</v>
      </c>
      <c r="G4158" s="93">
        <f t="shared" si="826"/>
        <v>3749200</v>
      </c>
      <c r="J4158" s="138">
        <v>32088.5</v>
      </c>
      <c r="K4158" s="25">
        <f t="shared" si="827"/>
        <v>3717111.5</v>
      </c>
      <c r="L4158" s="95">
        <f t="shared" si="828"/>
        <v>19620814</v>
      </c>
      <c r="P4158" s="21">
        <v>21003172</v>
      </c>
      <c r="Q4158" s="98">
        <v>44348</v>
      </c>
      <c r="R4158" s="3">
        <v>187500</v>
      </c>
      <c r="S4158" s="3">
        <v>240000</v>
      </c>
      <c r="U4158" s="3"/>
      <c r="W4158" s="31">
        <v>3749200</v>
      </c>
      <c r="X4158" s="131">
        <f>+E4158-W4158</f>
        <v>0</v>
      </c>
    </row>
    <row r="4159" spans="1:24" ht="15" hidden="1" x14ac:dyDescent="0.25">
      <c r="B4159" s="89">
        <v>44441.083333333336</v>
      </c>
      <c r="C4159" s="62" t="s">
        <v>3879</v>
      </c>
      <c r="E4159" s="93">
        <v>3749200</v>
      </c>
      <c r="G4159" s="93">
        <f t="shared" si="826"/>
        <v>3749200</v>
      </c>
      <c r="J4159" s="138">
        <v>32088.5</v>
      </c>
      <c r="K4159" s="25">
        <f t="shared" si="827"/>
        <v>3717111.5</v>
      </c>
      <c r="L4159" s="95">
        <f t="shared" si="828"/>
        <v>15871614</v>
      </c>
      <c r="P4159" s="21">
        <v>21021162</v>
      </c>
      <c r="Q4159" s="98">
        <v>44409</v>
      </c>
      <c r="R4159" s="3">
        <v>187500</v>
      </c>
      <c r="S4159" s="3">
        <v>240000</v>
      </c>
      <c r="U4159" s="3">
        <f>+U4157*12.5%</f>
        <v>1174749.3</v>
      </c>
      <c r="V4159" s="173" t="s">
        <v>11</v>
      </c>
      <c r="W4159" s="31"/>
      <c r="X4159" s="131"/>
    </row>
    <row r="4160" spans="1:24" ht="15" hidden="1" x14ac:dyDescent="0.25">
      <c r="B4160" s="89">
        <v>44474.083333333336</v>
      </c>
      <c r="C4160" s="62" t="s">
        <v>3880</v>
      </c>
      <c r="E4160" s="93">
        <v>3749200</v>
      </c>
      <c r="G4160" s="93">
        <f t="shared" si="826"/>
        <v>3749200</v>
      </c>
      <c r="J4160" s="138">
        <v>32088.5</v>
      </c>
      <c r="K4160" s="25">
        <f t="shared" si="827"/>
        <v>3717111.5</v>
      </c>
      <c r="L4160" s="95">
        <f t="shared" si="828"/>
        <v>12122414</v>
      </c>
      <c r="P4160" s="21">
        <v>8615518704</v>
      </c>
      <c r="Q4160" s="98">
        <v>44440</v>
      </c>
      <c r="R4160" s="3">
        <v>187500</v>
      </c>
      <c r="S4160" s="3">
        <v>240000</v>
      </c>
      <c r="U4160" s="3">
        <f>+U4157*16%</f>
        <v>1503679.1040000001</v>
      </c>
      <c r="V4160" s="172" t="s">
        <v>12</v>
      </c>
      <c r="W4160" s="31"/>
      <c r="X4160" s="131"/>
    </row>
    <row r="4161" spans="1:24" ht="15" hidden="1" x14ac:dyDescent="0.25">
      <c r="B4161" s="89">
        <v>44508.125</v>
      </c>
      <c r="C4161" s="62" t="s">
        <v>3881</v>
      </c>
      <c r="E4161" s="93">
        <v>3749200</v>
      </c>
      <c r="G4161" s="93">
        <f t="shared" si="826"/>
        <v>3749200</v>
      </c>
      <c r="J4161" s="138">
        <v>32088.5</v>
      </c>
      <c r="K4161" s="25">
        <f t="shared" si="827"/>
        <v>3717111.5</v>
      </c>
      <c r="L4161" s="95">
        <f t="shared" si="828"/>
        <v>8373214</v>
      </c>
      <c r="P4161" s="21">
        <v>21697544</v>
      </c>
      <c r="Q4161" s="98">
        <v>44470</v>
      </c>
      <c r="R4161" s="3">
        <v>187500</v>
      </c>
      <c r="S4161" s="3">
        <v>240000</v>
      </c>
      <c r="W4161" s="31"/>
      <c r="X4161" s="131"/>
    </row>
    <row r="4162" spans="1:24" ht="15" hidden="1" x14ac:dyDescent="0.25">
      <c r="B4162" s="89">
        <v>44540.125</v>
      </c>
      <c r="C4162" s="62" t="s">
        <v>3882</v>
      </c>
      <c r="E4162" s="93">
        <v>3749200</v>
      </c>
      <c r="G4162" s="93">
        <f t="shared" si="826"/>
        <v>3749200</v>
      </c>
      <c r="J4162" s="138">
        <v>32088.5</v>
      </c>
      <c r="K4162" s="25">
        <f t="shared" si="827"/>
        <v>3717111.5</v>
      </c>
      <c r="L4162" s="95">
        <f t="shared" si="828"/>
        <v>4624014</v>
      </c>
      <c r="P4162" s="21">
        <v>21701225</v>
      </c>
      <c r="Q4162" s="98">
        <v>44501</v>
      </c>
      <c r="R4162" s="3">
        <v>187500</v>
      </c>
      <c r="S4162" s="3">
        <v>240000</v>
      </c>
      <c r="W4162" s="31"/>
      <c r="X4162" s="131"/>
    </row>
    <row r="4163" spans="1:24" ht="15" hidden="1" x14ac:dyDescent="0.25">
      <c r="B4163" s="89">
        <v>44560.125</v>
      </c>
      <c r="C4163" s="62" t="s">
        <v>3883</v>
      </c>
      <c r="E4163" s="93">
        <v>3749200</v>
      </c>
      <c r="G4163" s="93">
        <f t="shared" si="826"/>
        <v>3749200</v>
      </c>
      <c r="J4163" s="138">
        <v>32088.5</v>
      </c>
      <c r="K4163" s="25">
        <f t="shared" si="827"/>
        <v>3717111.5</v>
      </c>
      <c r="L4163" s="95">
        <f>+L4162-G4163</f>
        <v>874814</v>
      </c>
      <c r="P4163" s="21">
        <v>22109010</v>
      </c>
      <c r="Q4163" s="98">
        <v>44531</v>
      </c>
      <c r="R4163" s="3">
        <v>187500</v>
      </c>
      <c r="S4163" s="3">
        <v>240000</v>
      </c>
      <c r="W4163" s="31"/>
      <c r="X4163" s="131"/>
    </row>
    <row r="4164" spans="1:24" ht="15" hidden="1" x14ac:dyDescent="0.25">
      <c r="B4164" s="89"/>
      <c r="C4164" s="62"/>
      <c r="E4164" s="93"/>
      <c r="G4164" s="93"/>
      <c r="K4164" s="25"/>
      <c r="L4164" s="95"/>
      <c r="Q4164" s="98"/>
      <c r="R4164" s="99">
        <f>SUM(R4157:R4163)</f>
        <v>1175000</v>
      </c>
      <c r="S4164" s="185">
        <f>SUM(S4157:S4163)</f>
        <v>1504000</v>
      </c>
      <c r="W4164" s="31"/>
      <c r="X4164" s="131"/>
    </row>
    <row r="4165" spans="1:24" ht="15" hidden="1" x14ac:dyDescent="0.25">
      <c r="A4165" s="21">
        <v>5022021</v>
      </c>
      <c r="B4165" s="139" t="s">
        <v>3884</v>
      </c>
      <c r="C4165" s="140"/>
      <c r="D4165" s="141">
        <v>39848640</v>
      </c>
      <c r="E4165" s="141">
        <f>+D4165</f>
        <v>39848640</v>
      </c>
      <c r="F4165" s="141"/>
      <c r="G4165" s="141"/>
      <c r="H4165" s="141"/>
      <c r="I4165" s="141"/>
      <c r="J4165" s="141"/>
      <c r="K4165" s="141"/>
      <c r="L4165" s="141">
        <f>+D4165</f>
        <v>39848640</v>
      </c>
      <c r="O4165" s="149">
        <f>+VLOOKUP(A4165,'[1]ANEXO 7 - PPTO VIG 2021'!$H$8:$AB$160,21,)-L4171</f>
        <v>-2570880</v>
      </c>
    </row>
    <row r="4166" spans="1:24" ht="15" hidden="1" x14ac:dyDescent="0.25">
      <c r="B4166" s="89">
        <v>44419.083333333336</v>
      </c>
      <c r="C4166" s="200" t="s">
        <v>3885</v>
      </c>
      <c r="E4166" s="63">
        <v>5141760</v>
      </c>
      <c r="G4166" s="138">
        <f t="shared" ref="G4166:G4171" si="829">+E4166</f>
        <v>5141760</v>
      </c>
      <c r="J4166" s="138">
        <v>44007.09</v>
      </c>
      <c r="K4166" s="25">
        <f t="shared" ref="K4166:K4171" si="830">+G4166-H4166-I4166-J4166</f>
        <v>5097752.91</v>
      </c>
      <c r="L4166" s="95">
        <f t="shared" ref="L4166:L4171" si="831">+L4165-G4166</f>
        <v>34706880</v>
      </c>
      <c r="P4166" s="21">
        <v>51776844</v>
      </c>
      <c r="Q4166" s="98">
        <v>44348</v>
      </c>
      <c r="R4166" s="3">
        <v>393300</v>
      </c>
      <c r="S4166" s="3">
        <v>503400</v>
      </c>
      <c r="T4166" s="3">
        <f>+L4165-2570880</f>
        <v>37277760</v>
      </c>
      <c r="U4166" s="3">
        <f>+T4166*40%</f>
        <v>14911104</v>
      </c>
      <c r="W4166" s="31">
        <v>5141760</v>
      </c>
      <c r="X4166" s="131">
        <f>+E4166-W4166</f>
        <v>0</v>
      </c>
    </row>
    <row r="4167" spans="1:24" ht="15" hidden="1" x14ac:dyDescent="0.25">
      <c r="B4167" s="89">
        <v>44441.083333333336</v>
      </c>
      <c r="C4167" s="200" t="s">
        <v>3886</v>
      </c>
      <c r="E4167" s="63">
        <v>6427200</v>
      </c>
      <c r="G4167" s="138">
        <f t="shared" si="829"/>
        <v>6427200</v>
      </c>
      <c r="I4167" s="138">
        <v>62167.9</v>
      </c>
      <c r="J4167" s="138">
        <v>55008.86</v>
      </c>
      <c r="K4167" s="25">
        <f t="shared" si="830"/>
        <v>6310023.2399999993</v>
      </c>
      <c r="L4167" s="95">
        <f t="shared" si="831"/>
        <v>28279680</v>
      </c>
      <c r="P4167" s="21">
        <v>52394543</v>
      </c>
      <c r="Q4167" s="98">
        <v>44378</v>
      </c>
      <c r="R4167" s="3">
        <v>393300</v>
      </c>
      <c r="S4167" s="3">
        <v>503400</v>
      </c>
      <c r="U4167" s="3"/>
      <c r="W4167" s="31"/>
      <c r="X4167" s="131"/>
    </row>
    <row r="4168" spans="1:24" ht="15" hidden="1" x14ac:dyDescent="0.25">
      <c r="B4168" s="89">
        <v>44480.083333333336</v>
      </c>
      <c r="C4168" s="200" t="s">
        <v>3887</v>
      </c>
      <c r="E4168" s="63">
        <v>6427200</v>
      </c>
      <c r="G4168" s="138">
        <f t="shared" si="829"/>
        <v>6427200</v>
      </c>
      <c r="I4168" s="138">
        <v>62167.9</v>
      </c>
      <c r="J4168" s="138">
        <v>55008.86</v>
      </c>
      <c r="K4168" s="25">
        <f t="shared" si="830"/>
        <v>6310023.2399999993</v>
      </c>
      <c r="L4168" s="95">
        <f t="shared" si="831"/>
        <v>21852480</v>
      </c>
      <c r="P4168" s="21">
        <v>52394731</v>
      </c>
      <c r="Q4168" s="98">
        <v>44409</v>
      </c>
      <c r="R4168" s="3">
        <v>393300</v>
      </c>
      <c r="S4168" s="3">
        <v>503400</v>
      </c>
      <c r="U4168" s="3">
        <f>+U4166*12.5%</f>
        <v>1863888</v>
      </c>
      <c r="V4168" s="173" t="s">
        <v>11</v>
      </c>
      <c r="W4168" s="31"/>
      <c r="X4168" s="131"/>
    </row>
    <row r="4169" spans="1:24" ht="15" hidden="1" x14ac:dyDescent="0.25">
      <c r="B4169" s="89">
        <v>44503.083333333336</v>
      </c>
      <c r="C4169" s="200" t="s">
        <v>3888</v>
      </c>
      <c r="E4169" s="63">
        <v>6427200</v>
      </c>
      <c r="G4169" s="138">
        <f t="shared" si="829"/>
        <v>6427200</v>
      </c>
      <c r="I4169" s="138">
        <v>62167.9</v>
      </c>
      <c r="J4169" s="138">
        <v>55008.86</v>
      </c>
      <c r="K4169" s="25">
        <f t="shared" si="830"/>
        <v>6310023.2399999993</v>
      </c>
      <c r="L4169" s="95">
        <f t="shared" si="831"/>
        <v>15425280</v>
      </c>
      <c r="P4169" s="21">
        <v>53603294</v>
      </c>
      <c r="Q4169" s="98">
        <v>44440</v>
      </c>
      <c r="R4169" s="3">
        <v>393300</v>
      </c>
      <c r="S4169" s="3">
        <v>503400</v>
      </c>
      <c r="U4169" s="3">
        <f>+U4166*16%</f>
        <v>2385776.6400000001</v>
      </c>
      <c r="V4169" s="172" t="s">
        <v>12</v>
      </c>
      <c r="W4169" s="31"/>
      <c r="X4169" s="131"/>
    </row>
    <row r="4170" spans="1:24" ht="15" hidden="1" x14ac:dyDescent="0.25">
      <c r="B4170" s="89">
        <v>44533.125</v>
      </c>
      <c r="C4170" s="200" t="s">
        <v>3889</v>
      </c>
      <c r="E4170" s="63">
        <v>6427200</v>
      </c>
      <c r="G4170" s="138">
        <f t="shared" si="829"/>
        <v>6427200</v>
      </c>
      <c r="I4170" s="138">
        <v>62167.9</v>
      </c>
      <c r="J4170" s="138">
        <v>55008.86</v>
      </c>
      <c r="K4170" s="25">
        <f t="shared" si="830"/>
        <v>6310023.2399999993</v>
      </c>
      <c r="L4170" s="95">
        <f t="shared" si="831"/>
        <v>8998080</v>
      </c>
      <c r="P4170" s="21">
        <v>54276814</v>
      </c>
      <c r="Q4170" s="98">
        <v>44470</v>
      </c>
      <c r="R4170" s="3">
        <v>393300</v>
      </c>
      <c r="S4170" s="3">
        <v>503400</v>
      </c>
      <c r="W4170" s="31"/>
      <c r="X4170" s="131"/>
    </row>
    <row r="4171" spans="1:24" ht="15" hidden="1" x14ac:dyDescent="0.25">
      <c r="B4171" s="89">
        <v>44554.125</v>
      </c>
      <c r="C4171" s="200" t="s">
        <v>3890</v>
      </c>
      <c r="E4171" s="63">
        <v>6427200</v>
      </c>
      <c r="G4171" s="138">
        <f t="shared" si="829"/>
        <v>6427200</v>
      </c>
      <c r="I4171" s="138">
        <v>62167.9</v>
      </c>
      <c r="J4171" s="138">
        <v>55008.86</v>
      </c>
      <c r="K4171" s="25">
        <f t="shared" si="830"/>
        <v>6310023.2399999993</v>
      </c>
      <c r="L4171" s="95">
        <f t="shared" si="831"/>
        <v>2570880</v>
      </c>
      <c r="P4171" s="21">
        <v>54967550</v>
      </c>
      <c r="Q4171" s="98">
        <v>44501</v>
      </c>
      <c r="R4171" s="3">
        <v>393300</v>
      </c>
      <c r="S4171" s="3">
        <v>503400</v>
      </c>
      <c r="W4171" s="31"/>
      <c r="X4171" s="131"/>
    </row>
    <row r="4172" spans="1:24" ht="15" hidden="1" x14ac:dyDescent="0.25">
      <c r="B4172" s="89"/>
      <c r="E4172" s="63"/>
      <c r="K4172" s="25"/>
      <c r="L4172" s="95"/>
      <c r="P4172" s="21">
        <v>55391541</v>
      </c>
      <c r="Q4172" s="98">
        <v>44531</v>
      </c>
      <c r="R4172" s="3">
        <v>393300</v>
      </c>
      <c r="S4172" s="3">
        <v>503400</v>
      </c>
      <c r="W4172" s="31"/>
      <c r="X4172" s="131"/>
    </row>
    <row r="4173" spans="1:24" ht="15" hidden="1" x14ac:dyDescent="0.25">
      <c r="B4173" s="89"/>
      <c r="E4173" s="63"/>
      <c r="K4173" s="25"/>
      <c r="L4173" s="95"/>
      <c r="Q4173" s="98"/>
      <c r="R4173" s="99">
        <f>SUM(R4166:R4172)</f>
        <v>2753100</v>
      </c>
      <c r="S4173" s="185">
        <f>SUM(S4166:S4172)</f>
        <v>3523800</v>
      </c>
      <c r="W4173" s="31"/>
      <c r="X4173" s="131"/>
    </row>
    <row r="4174" spans="1:24" ht="15" hidden="1" x14ac:dyDescent="0.25">
      <c r="A4174" s="21">
        <v>5172021</v>
      </c>
      <c r="B4174" s="139" t="s">
        <v>3891</v>
      </c>
      <c r="C4174" s="140"/>
      <c r="D4174" s="141">
        <v>48733333</v>
      </c>
      <c r="E4174" s="141">
        <f>+D4174</f>
        <v>48733333</v>
      </c>
      <c r="F4174" s="141"/>
      <c r="G4174" s="141"/>
      <c r="H4174" s="141"/>
      <c r="I4174" s="141"/>
      <c r="J4174" s="141"/>
      <c r="K4174" s="141"/>
      <c r="L4174" s="141">
        <f>+D4174</f>
        <v>48733333</v>
      </c>
      <c r="O4174" s="149">
        <f>+VLOOKUP(A4174,'[1]ANEXO 7 - PPTO VIG 2021'!$H$8:$AB$160,21,)-L4180</f>
        <v>-286666</v>
      </c>
    </row>
    <row r="4175" spans="1:24" ht="15" hidden="1" x14ac:dyDescent="0.25">
      <c r="B4175" s="89">
        <v>44420.083333333336</v>
      </c>
      <c r="C4175" s="62" t="s">
        <v>3892</v>
      </c>
      <c r="E4175" s="93">
        <v>5446667</v>
      </c>
      <c r="G4175" s="93">
        <f t="shared" ref="G4175:G4180" si="832">+E4175</f>
        <v>5446667</v>
      </c>
      <c r="I4175" s="138">
        <v>24742.78</v>
      </c>
      <c r="J4175" s="138">
        <v>46616.72</v>
      </c>
      <c r="K4175" s="25">
        <f t="shared" ref="K4175:K4180" si="833">+G4175-H4175-I4175-J4175</f>
        <v>5375307.5</v>
      </c>
      <c r="L4175" s="95">
        <f t="shared" ref="L4175:L4180" si="834">+L4174-G4175</f>
        <v>43286666</v>
      </c>
      <c r="P4175" s="21">
        <v>52178173</v>
      </c>
      <c r="Q4175" s="98">
        <v>44378</v>
      </c>
      <c r="R4175" s="3">
        <v>258000</v>
      </c>
      <c r="S4175" s="3">
        <v>330300</v>
      </c>
      <c r="T4175" s="3">
        <f>+L4174-286666</f>
        <v>48446667</v>
      </c>
      <c r="U4175" s="3">
        <f>+T4175*40%</f>
        <v>19378666.800000001</v>
      </c>
      <c r="W4175" s="31">
        <v>5446667</v>
      </c>
      <c r="X4175" s="131">
        <f>+E4175-W4175</f>
        <v>0</v>
      </c>
    </row>
    <row r="4176" spans="1:24" ht="15" hidden="1" x14ac:dyDescent="0.25">
      <c r="B4176" s="89">
        <v>44447.083333333336</v>
      </c>
      <c r="C4176" s="200" t="s">
        <v>3893</v>
      </c>
      <c r="E4176" s="138">
        <v>8600000</v>
      </c>
      <c r="G4176" s="138">
        <f t="shared" si="832"/>
        <v>8600000</v>
      </c>
      <c r="I4176" s="138">
        <v>420661.98</v>
      </c>
      <c r="J4176" s="138">
        <v>73605.34</v>
      </c>
      <c r="K4176" s="25">
        <f t="shared" si="833"/>
        <v>8105732.6799999997</v>
      </c>
      <c r="L4176" s="95">
        <f t="shared" si="834"/>
        <v>34686666</v>
      </c>
      <c r="P4176" s="21">
        <v>52728696</v>
      </c>
      <c r="Q4176" s="98">
        <v>44409</v>
      </c>
      <c r="R4176" s="3">
        <v>430000</v>
      </c>
      <c r="S4176" s="3">
        <v>550400</v>
      </c>
      <c r="U4176" s="3"/>
    </row>
    <row r="4177" spans="1:24" ht="15" hidden="1" x14ac:dyDescent="0.25">
      <c r="B4177" s="89">
        <v>44481.083333333336</v>
      </c>
      <c r="C4177" s="200" t="s">
        <v>3894</v>
      </c>
      <c r="E4177" s="138">
        <v>8600000</v>
      </c>
      <c r="G4177" s="138">
        <f t="shared" si="832"/>
        <v>8600000</v>
      </c>
      <c r="I4177" s="138">
        <v>420661.98</v>
      </c>
      <c r="J4177" s="138">
        <v>73605.34</v>
      </c>
      <c r="K4177" s="25">
        <f t="shared" si="833"/>
        <v>8105732.6799999997</v>
      </c>
      <c r="L4177" s="95">
        <f t="shared" si="834"/>
        <v>26086666</v>
      </c>
      <c r="P4177" s="21">
        <v>53429223</v>
      </c>
      <c r="Q4177" s="98">
        <v>44440</v>
      </c>
      <c r="R4177" s="3">
        <v>430000</v>
      </c>
      <c r="S4177" s="3">
        <v>550400</v>
      </c>
      <c r="U4177" s="3">
        <f>+U4175*12.5%</f>
        <v>2422333.35</v>
      </c>
      <c r="V4177" s="173" t="s">
        <v>11</v>
      </c>
    </row>
    <row r="4178" spans="1:24" ht="15" hidden="1" x14ac:dyDescent="0.25">
      <c r="B4178" s="89">
        <v>44508.125</v>
      </c>
      <c r="C4178" s="200" t="s">
        <v>3895</v>
      </c>
      <c r="E4178" s="138">
        <v>8600000</v>
      </c>
      <c r="G4178" s="138">
        <f t="shared" si="832"/>
        <v>8600000</v>
      </c>
      <c r="I4178" s="138">
        <v>420661.98</v>
      </c>
      <c r="J4178" s="138">
        <v>73605.34</v>
      </c>
      <c r="K4178" s="25">
        <f t="shared" si="833"/>
        <v>8105732.6799999997</v>
      </c>
      <c r="L4178" s="95">
        <f t="shared" si="834"/>
        <v>17486666</v>
      </c>
      <c r="P4178" s="21">
        <v>54010715</v>
      </c>
      <c r="Q4178" s="98">
        <v>44470</v>
      </c>
      <c r="R4178" s="3">
        <v>430000</v>
      </c>
      <c r="S4178" s="3">
        <v>550400</v>
      </c>
      <c r="U4178" s="3">
        <f>+U4175*16%</f>
        <v>3100586.6880000001</v>
      </c>
      <c r="V4178" s="172" t="s">
        <v>12</v>
      </c>
    </row>
    <row r="4179" spans="1:24" ht="15" hidden="1" x14ac:dyDescent="0.25">
      <c r="B4179" s="89">
        <v>44545.125</v>
      </c>
      <c r="C4179" s="200" t="s">
        <v>3896</v>
      </c>
      <c r="E4179" s="138">
        <v>8600000</v>
      </c>
      <c r="G4179" s="138">
        <f t="shared" si="832"/>
        <v>8600000</v>
      </c>
      <c r="I4179" s="138">
        <v>420661.98</v>
      </c>
      <c r="J4179" s="138">
        <v>73605.34</v>
      </c>
      <c r="K4179" s="25">
        <f t="shared" si="833"/>
        <v>8105732.6799999997</v>
      </c>
      <c r="L4179" s="95">
        <f t="shared" si="834"/>
        <v>8886666</v>
      </c>
      <c r="P4179" s="21">
        <v>54829012</v>
      </c>
      <c r="Q4179" s="98">
        <v>44501</v>
      </c>
      <c r="R4179" s="3">
        <v>430000</v>
      </c>
      <c r="S4179" s="3">
        <v>550400</v>
      </c>
    </row>
    <row r="4180" spans="1:24" ht="15" hidden="1" x14ac:dyDescent="0.25">
      <c r="B4180" s="89">
        <v>44551.125</v>
      </c>
      <c r="C4180" s="200" t="s">
        <v>3897</v>
      </c>
      <c r="E4180" s="138">
        <v>8600000</v>
      </c>
      <c r="G4180" s="138">
        <f t="shared" si="832"/>
        <v>8600000</v>
      </c>
      <c r="I4180" s="138">
        <v>420661.98</v>
      </c>
      <c r="J4180" s="138">
        <v>73605.34</v>
      </c>
      <c r="K4180" s="25">
        <f t="shared" si="833"/>
        <v>8105732.6799999997</v>
      </c>
      <c r="L4180" s="95">
        <f t="shared" si="834"/>
        <v>286666</v>
      </c>
      <c r="P4180" s="21">
        <v>55290328</v>
      </c>
      <c r="Q4180" s="98">
        <v>44531</v>
      </c>
      <c r="R4180" s="3">
        <v>430000</v>
      </c>
      <c r="S4180" s="3">
        <v>550400</v>
      </c>
    </row>
    <row r="4181" spans="1:24" ht="15" hidden="1" x14ac:dyDescent="0.25">
      <c r="B4181" s="89"/>
      <c r="K4181" s="25"/>
      <c r="L4181" s="95"/>
      <c r="Q4181" s="98"/>
      <c r="R4181" s="99">
        <f>SUM(R4175:R4180)</f>
        <v>2408000</v>
      </c>
      <c r="S4181" s="185">
        <f>SUM(S4175:S4180)</f>
        <v>3082300</v>
      </c>
    </row>
    <row r="4182" spans="1:24" ht="15" hidden="1" x14ac:dyDescent="0.25">
      <c r="A4182" s="21">
        <v>4712021</v>
      </c>
      <c r="B4182" s="139" t="s">
        <v>3898</v>
      </c>
      <c r="C4182" s="140"/>
      <c r="D4182" s="141">
        <v>63988480</v>
      </c>
      <c r="E4182" s="141">
        <f>+D4182</f>
        <v>63988480</v>
      </c>
      <c r="F4182" s="141"/>
      <c r="G4182" s="141"/>
      <c r="H4182" s="141"/>
      <c r="I4182" s="141"/>
      <c r="J4182" s="141"/>
      <c r="K4182" s="141"/>
      <c r="L4182" s="141">
        <f>+D4182</f>
        <v>63988480</v>
      </c>
      <c r="O4182" s="149">
        <f>+VLOOKUP(A4182,'[1]ANEXO 7 - PPTO VIG 2021'!$H$8:$AB$160,21,)-L4193</f>
        <v>-9649658</v>
      </c>
    </row>
    <row r="4183" spans="1:24" ht="15" hidden="1" x14ac:dyDescent="0.25">
      <c r="B4183" s="89">
        <v>44428.083333333336</v>
      </c>
      <c r="C4183" s="62" t="s">
        <v>3899</v>
      </c>
      <c r="E4183" s="93">
        <v>4998933</v>
      </c>
      <c r="G4183" s="93">
        <f t="shared" ref="G4183:G4193" si="835">+E4183</f>
        <v>4998933</v>
      </c>
      <c r="J4183" s="138">
        <v>42784.67</v>
      </c>
      <c r="K4183" s="25">
        <f t="shared" ref="K4183:K4193" si="836">+G4183-H4183-I4183-J4183</f>
        <v>4956148.33</v>
      </c>
      <c r="L4183" s="95">
        <f t="shared" ref="L4183:L4193" si="837">+L4182-G4183</f>
        <v>58989547</v>
      </c>
      <c r="P4183" s="21">
        <v>1038425177</v>
      </c>
      <c r="Q4183" s="98">
        <v>44348</v>
      </c>
      <c r="R4183" s="3">
        <v>330300</v>
      </c>
      <c r="S4183" s="3">
        <v>875000</v>
      </c>
      <c r="T4183" s="3">
        <f>+L4182-3999147</f>
        <v>59989333</v>
      </c>
      <c r="U4183" s="3">
        <f>+T4183*40%</f>
        <v>23995733.200000003</v>
      </c>
      <c r="W4183" s="31">
        <v>4998933</v>
      </c>
      <c r="X4183" s="131">
        <f>+E4183-W4183</f>
        <v>0</v>
      </c>
    </row>
    <row r="4184" spans="1:24" ht="15" hidden="1" x14ac:dyDescent="0.25">
      <c r="B4184" s="89">
        <v>44508.125</v>
      </c>
      <c r="C4184" s="62" t="s">
        <v>3900</v>
      </c>
      <c r="E4184" s="93">
        <v>7498400</v>
      </c>
      <c r="G4184" s="93">
        <f t="shared" si="835"/>
        <v>7498400</v>
      </c>
      <c r="I4184" s="138">
        <v>285394.59999999998</v>
      </c>
      <c r="J4184" s="138">
        <v>64177.01</v>
      </c>
      <c r="K4184" s="25">
        <f t="shared" si="836"/>
        <v>7148828.3900000006</v>
      </c>
      <c r="L4184" s="95">
        <f t="shared" si="837"/>
        <v>51491147</v>
      </c>
      <c r="P4184" s="21">
        <v>1039300972</v>
      </c>
      <c r="Q4184" s="98">
        <v>44378</v>
      </c>
      <c r="R4184" s="3">
        <v>1000000</v>
      </c>
      <c r="S4184" s="3">
        <v>1360000</v>
      </c>
      <c r="U4184" s="3"/>
      <c r="W4184" s="31"/>
      <c r="X4184" s="131"/>
    </row>
    <row r="4185" spans="1:24" ht="15" hidden="1" x14ac:dyDescent="0.25">
      <c r="B4185" s="89">
        <v>44508.125</v>
      </c>
      <c r="C4185" s="62" t="s">
        <v>3901</v>
      </c>
      <c r="E4185" s="93">
        <v>7498400</v>
      </c>
      <c r="G4185" s="93">
        <f t="shared" si="835"/>
        <v>7498400</v>
      </c>
      <c r="I4185" s="138">
        <v>286021.61</v>
      </c>
      <c r="J4185" s="138">
        <v>64177.01</v>
      </c>
      <c r="K4185" s="25">
        <f t="shared" si="836"/>
        <v>7148201.3799999999</v>
      </c>
      <c r="L4185" s="95">
        <f t="shared" si="837"/>
        <v>43992747</v>
      </c>
      <c r="P4185" s="21">
        <v>1041215947</v>
      </c>
      <c r="Q4185" s="98">
        <v>44409</v>
      </c>
      <c r="R4185" s="3">
        <v>893300</v>
      </c>
      <c r="S4185" s="3">
        <v>1215000</v>
      </c>
      <c r="U4185" s="3">
        <f>+U4183*12.5%</f>
        <v>2999466.6500000004</v>
      </c>
      <c r="V4185" s="173" t="s">
        <v>11</v>
      </c>
      <c r="W4185" s="31"/>
      <c r="X4185" s="131"/>
    </row>
    <row r="4186" spans="1:24" ht="15" hidden="1" x14ac:dyDescent="0.25">
      <c r="B4186" s="89">
        <v>44508.125</v>
      </c>
      <c r="C4186" s="62" t="s">
        <v>3902</v>
      </c>
      <c r="E4186" s="93">
        <v>7498400</v>
      </c>
      <c r="G4186" s="93">
        <f t="shared" si="835"/>
        <v>7498400</v>
      </c>
      <c r="I4186" s="138">
        <v>287774.34000000003</v>
      </c>
      <c r="J4186" s="138">
        <v>64177.01</v>
      </c>
      <c r="K4186" s="25">
        <f t="shared" si="836"/>
        <v>7146448.6500000004</v>
      </c>
      <c r="L4186" s="95">
        <f t="shared" si="837"/>
        <v>36494347</v>
      </c>
      <c r="P4186" s="21">
        <v>1041216495</v>
      </c>
      <c r="Q4186" s="98">
        <v>44440</v>
      </c>
      <c r="R4186" s="3">
        <v>600000</v>
      </c>
      <c r="S4186" s="3">
        <v>816000</v>
      </c>
      <c r="U4186" s="3">
        <f>+U4183*16%</f>
        <v>3839317.3120000004</v>
      </c>
      <c r="V4186" s="172" t="s">
        <v>12</v>
      </c>
      <c r="W4186" s="31"/>
      <c r="X4186" s="131"/>
    </row>
    <row r="4187" spans="1:24" ht="15" hidden="1" x14ac:dyDescent="0.25">
      <c r="B4187" s="89">
        <v>44508.125</v>
      </c>
      <c r="C4187" s="62" t="s">
        <v>3903</v>
      </c>
      <c r="E4187" s="93">
        <v>7498400</v>
      </c>
      <c r="G4187" s="93">
        <f t="shared" si="835"/>
        <v>7498400</v>
      </c>
      <c r="I4187" s="138">
        <v>287774.34000000003</v>
      </c>
      <c r="J4187" s="138">
        <v>64177.01</v>
      </c>
      <c r="K4187" s="25">
        <f t="shared" si="836"/>
        <v>7146448.6500000004</v>
      </c>
      <c r="L4187" s="95">
        <f t="shared" si="837"/>
        <v>28995947</v>
      </c>
      <c r="P4187" s="21">
        <v>1041216572</v>
      </c>
      <c r="Q4187" s="98">
        <v>44470</v>
      </c>
      <c r="R4187" s="3">
        <v>600000</v>
      </c>
      <c r="S4187" s="3">
        <v>816000</v>
      </c>
      <c r="W4187" s="31"/>
      <c r="X4187" s="131"/>
    </row>
    <row r="4188" spans="1:24" ht="15" hidden="1" x14ac:dyDescent="0.25">
      <c r="B4188" s="89">
        <v>44539.125</v>
      </c>
      <c r="C4188" s="62" t="s">
        <v>3904</v>
      </c>
      <c r="E4188" s="93">
        <v>7498400</v>
      </c>
      <c r="G4188" s="93">
        <f t="shared" si="835"/>
        <v>7498400</v>
      </c>
      <c r="I4188" s="138">
        <v>287774.34000000003</v>
      </c>
      <c r="J4188" s="138">
        <v>64177.01</v>
      </c>
      <c r="K4188" s="25">
        <f t="shared" si="836"/>
        <v>7146448.6500000004</v>
      </c>
      <c r="L4188" s="95">
        <f t="shared" si="837"/>
        <v>21497547</v>
      </c>
      <c r="P4188" s="21">
        <v>1042004308</v>
      </c>
      <c r="Q4188" s="98">
        <v>44501</v>
      </c>
      <c r="R4188" s="3">
        <v>600000</v>
      </c>
      <c r="S4188" s="3">
        <v>816000</v>
      </c>
      <c r="W4188" s="31"/>
      <c r="X4188" s="131"/>
    </row>
    <row r="4189" spans="1:24" ht="15" hidden="1" x14ac:dyDescent="0.25">
      <c r="B4189" s="89">
        <v>44560.125</v>
      </c>
      <c r="C4189" s="62" t="s">
        <v>3905</v>
      </c>
      <c r="E4189" s="93">
        <v>7498400</v>
      </c>
      <c r="G4189" s="93">
        <f t="shared" si="835"/>
        <v>7498400</v>
      </c>
      <c r="I4189" s="138">
        <v>287774.34000000003</v>
      </c>
      <c r="J4189" s="138">
        <v>64177.01</v>
      </c>
      <c r="K4189" s="25">
        <f t="shared" si="836"/>
        <v>7146448.6500000004</v>
      </c>
      <c r="L4189" s="95">
        <f t="shared" si="837"/>
        <v>13999147</v>
      </c>
      <c r="P4189" s="21">
        <v>1042326136</v>
      </c>
      <c r="Q4189" s="98">
        <v>44531</v>
      </c>
      <c r="R4189" s="3">
        <v>600000</v>
      </c>
      <c r="S4189" s="3">
        <v>816000</v>
      </c>
      <c r="W4189" s="31"/>
      <c r="X4189" s="131"/>
    </row>
    <row r="4190" spans="1:24" ht="15" hidden="1" x14ac:dyDescent="0.25">
      <c r="B4190" s="89">
        <v>44564.125</v>
      </c>
      <c r="C4190" s="62" t="s">
        <v>3906</v>
      </c>
      <c r="E4190" s="93">
        <v>1329660</v>
      </c>
      <c r="G4190" s="93">
        <f t="shared" si="835"/>
        <v>1329660</v>
      </c>
      <c r="I4190" s="138">
        <v>0</v>
      </c>
      <c r="J4190" s="138">
        <v>9307.6200000000008</v>
      </c>
      <c r="K4190" s="25">
        <f t="shared" si="836"/>
        <v>1320352.3799999999</v>
      </c>
      <c r="L4190" s="95">
        <f t="shared" si="837"/>
        <v>12669487</v>
      </c>
      <c r="Q4190" s="98"/>
      <c r="R4190" s="99">
        <f>SUM(R4183:R4189)</f>
        <v>4623600</v>
      </c>
      <c r="S4190" s="185">
        <f>SUM(S4183:S4189)</f>
        <v>6714000</v>
      </c>
      <c r="W4190" s="31"/>
      <c r="X4190" s="131"/>
    </row>
    <row r="4191" spans="1:24" ht="15" hidden="1" x14ac:dyDescent="0.25">
      <c r="B4191" s="89">
        <v>44564.125</v>
      </c>
      <c r="C4191" s="62" t="s">
        <v>3907</v>
      </c>
      <c r="E4191" s="93">
        <v>1215259</v>
      </c>
      <c r="G4191" s="93">
        <f t="shared" si="835"/>
        <v>1215259</v>
      </c>
      <c r="I4191" s="138">
        <v>0</v>
      </c>
      <c r="J4191" s="138">
        <v>12710.59</v>
      </c>
      <c r="K4191" s="25">
        <f t="shared" si="836"/>
        <v>1202548.4099999999</v>
      </c>
      <c r="L4191" s="95">
        <f t="shared" si="837"/>
        <v>11454228</v>
      </c>
      <c r="Q4191" s="98"/>
      <c r="W4191" s="31"/>
      <c r="X4191" s="131"/>
    </row>
    <row r="4192" spans="1:24" ht="15" hidden="1" x14ac:dyDescent="0.25">
      <c r="B4192" s="89">
        <v>44564.125</v>
      </c>
      <c r="C4192" s="62" t="s">
        <v>3908</v>
      </c>
      <c r="E4192" s="93">
        <v>1057985</v>
      </c>
      <c r="G4192" s="93">
        <f t="shared" si="835"/>
        <v>1057985</v>
      </c>
      <c r="I4192" s="138">
        <v>0</v>
      </c>
      <c r="J4192" s="138">
        <v>5289.93</v>
      </c>
      <c r="K4192" s="25">
        <f t="shared" si="836"/>
        <v>1052695.07</v>
      </c>
      <c r="L4192" s="95">
        <f t="shared" si="837"/>
        <v>10396243</v>
      </c>
      <c r="Q4192" s="98"/>
      <c r="W4192" s="31"/>
      <c r="X4192" s="131"/>
    </row>
    <row r="4193" spans="1:24" ht="15" hidden="1" x14ac:dyDescent="0.25">
      <c r="B4193" s="89">
        <v>44564.125</v>
      </c>
      <c r="C4193" s="62" t="s">
        <v>3909</v>
      </c>
      <c r="E4193" s="93">
        <v>746585</v>
      </c>
      <c r="G4193" s="93">
        <f t="shared" si="835"/>
        <v>746585</v>
      </c>
      <c r="I4193" s="138">
        <v>97033.82</v>
      </c>
      <c r="J4193" s="138">
        <v>2986.34</v>
      </c>
      <c r="K4193" s="25">
        <f t="shared" si="836"/>
        <v>646564.84</v>
      </c>
      <c r="L4193" s="95">
        <f t="shared" si="837"/>
        <v>9649658</v>
      </c>
      <c r="Q4193" s="98"/>
      <c r="W4193" s="31"/>
      <c r="X4193" s="131"/>
    </row>
    <row r="4194" spans="1:24" ht="15" hidden="1" x14ac:dyDescent="0.25">
      <c r="A4194" s="21">
        <v>18882021</v>
      </c>
      <c r="B4194" s="9" t="s">
        <v>3910</v>
      </c>
      <c r="C4194" s="10"/>
      <c r="D4194" s="11">
        <v>3130897008</v>
      </c>
      <c r="E4194" s="11">
        <f>+D4194</f>
        <v>3130897008</v>
      </c>
      <c r="F4194" s="11"/>
      <c r="G4194" s="11"/>
      <c r="H4194" s="11"/>
      <c r="I4194" s="11"/>
      <c r="J4194" s="11"/>
      <c r="K4194" s="11"/>
      <c r="L4194" s="11">
        <f>+D4194</f>
        <v>3130897008</v>
      </c>
      <c r="M4194" s="12"/>
      <c r="N4194" s="12"/>
      <c r="P4194" s="55"/>
      <c r="Q4194" s="55"/>
      <c r="S4194" s="14"/>
      <c r="T4194" s="21"/>
    </row>
    <row r="4195" spans="1:24" ht="15.6" hidden="1" customHeight="1" x14ac:dyDescent="0.25">
      <c r="B4195" s="89">
        <v>44426.083333333336</v>
      </c>
      <c r="C4195" s="92" t="s">
        <v>3911</v>
      </c>
      <c r="D4195" s="34"/>
      <c r="E4195" s="102">
        <v>3130897008</v>
      </c>
      <c r="F4195" s="37"/>
      <c r="G4195" s="37">
        <f>+E4195</f>
        <v>3130897008</v>
      </c>
      <c r="H4195" s="64"/>
      <c r="I4195" s="64"/>
      <c r="J4195" s="64"/>
      <c r="K4195" s="18">
        <f>+G4195-H4195-I4195-J4195</f>
        <v>3130897008</v>
      </c>
      <c r="L4195" s="19">
        <f>+L4194-G4195</f>
        <v>0</v>
      </c>
      <c r="M4195" s="20"/>
      <c r="N4195" s="20"/>
      <c r="O4195" s="149">
        <f>+VLOOKUP(A4194,'[1]ANEXO 7 - PPTO VIG 2021'!$H$8:$AB$160,21,)-L4195</f>
        <v>0</v>
      </c>
      <c r="P4195" s="55"/>
      <c r="Q4195" s="55"/>
      <c r="R4195" s="14"/>
      <c r="S4195" s="14"/>
      <c r="T4195" s="21"/>
      <c r="W4195" s="31">
        <v>3130897008</v>
      </c>
      <c r="X4195" s="131">
        <f>+E4195-W4195</f>
        <v>0</v>
      </c>
    </row>
    <row r="4196" spans="1:24" ht="15" hidden="1" x14ac:dyDescent="0.25"/>
    <row r="4197" spans="1:24" ht="15" hidden="1" x14ac:dyDescent="0.25">
      <c r="A4197" s="21">
        <v>702442021</v>
      </c>
      <c r="B4197" s="9" t="s">
        <v>3912</v>
      </c>
      <c r="C4197" s="10"/>
      <c r="D4197" s="11">
        <v>3122880</v>
      </c>
      <c r="E4197" s="11">
        <f>+D4197</f>
        <v>3122880</v>
      </c>
      <c r="F4197" s="11"/>
      <c r="G4197" s="11"/>
      <c r="H4197" s="11"/>
      <c r="I4197" s="11"/>
      <c r="J4197" s="11"/>
      <c r="K4197" s="11"/>
      <c r="L4197" s="11">
        <f>+D4197</f>
        <v>3122880</v>
      </c>
      <c r="M4197" s="12"/>
      <c r="N4197" s="12"/>
      <c r="P4197" s="55"/>
      <c r="Q4197" s="55"/>
      <c r="R4197" s="14"/>
      <c r="S4197" s="14"/>
      <c r="T4197" s="21"/>
    </row>
    <row r="4198" spans="1:24" ht="15.6" hidden="1" customHeight="1" x14ac:dyDescent="0.25">
      <c r="B4198" s="89">
        <v>44411.083333333336</v>
      </c>
      <c r="C4198" s="92" t="s">
        <v>3913</v>
      </c>
      <c r="D4198" s="34"/>
      <c r="E4198" s="102">
        <v>3122880</v>
      </c>
      <c r="F4198" s="37"/>
      <c r="G4198" s="37">
        <f>+E4198</f>
        <v>3122880</v>
      </c>
      <c r="H4198" s="64"/>
      <c r="I4198" s="64">
        <v>109300.8</v>
      </c>
      <c r="J4198" s="64">
        <v>21547.87</v>
      </c>
      <c r="K4198" s="18">
        <f>+G4198-H4198-I4198-J4198</f>
        <v>2992031.33</v>
      </c>
      <c r="L4198" s="19">
        <f>+L4197-G4198</f>
        <v>0</v>
      </c>
      <c r="M4198" s="20"/>
      <c r="N4198" s="20"/>
      <c r="O4198" s="149">
        <f>+VLOOKUP(A4197,'[1]ANEXO 7 - PPTO VIG 2021'!$H$8:$AB$160,21,)-L4198</f>
        <v>0</v>
      </c>
      <c r="P4198" s="55"/>
      <c r="Q4198" s="55"/>
      <c r="R4198" s="14"/>
      <c r="S4198" s="14"/>
      <c r="T4198" s="21"/>
      <c r="W4198" s="31">
        <v>3122880</v>
      </c>
      <c r="X4198" s="131">
        <f>+E4198-W4198</f>
        <v>0</v>
      </c>
    </row>
    <row r="4199" spans="1:24" ht="15" hidden="1" x14ac:dyDescent="0.25"/>
    <row r="4200" spans="1:24" ht="15" hidden="1" x14ac:dyDescent="0.25">
      <c r="A4200" s="21">
        <v>5382021</v>
      </c>
      <c r="B4200" s="139" t="s">
        <v>3914</v>
      </c>
      <c r="C4200" s="10"/>
      <c r="D4200" s="11">
        <v>29400000</v>
      </c>
      <c r="E4200" s="11">
        <f>+D4200</f>
        <v>29400000</v>
      </c>
      <c r="F4200" s="11"/>
      <c r="G4200" s="11"/>
      <c r="H4200" s="11"/>
      <c r="I4200" s="11"/>
      <c r="J4200" s="11"/>
      <c r="K4200" s="11"/>
      <c r="L4200" s="11">
        <f>+D4200</f>
        <v>29400000</v>
      </c>
      <c r="M4200" s="12"/>
      <c r="N4200" s="12"/>
      <c r="P4200" s="55"/>
      <c r="Q4200" s="55"/>
      <c r="R4200" s="14"/>
      <c r="S4200" s="14"/>
      <c r="T4200" s="21"/>
    </row>
    <row r="4201" spans="1:24" ht="15.6" hidden="1" customHeight="1" x14ac:dyDescent="0.25">
      <c r="B4201" s="89">
        <v>44452.083333333336</v>
      </c>
      <c r="C4201" s="92" t="s">
        <v>3915</v>
      </c>
      <c r="D4201" s="34"/>
      <c r="E4201" s="102">
        <v>5400000</v>
      </c>
      <c r="F4201" s="37"/>
      <c r="G4201" s="37">
        <f>+E4201</f>
        <v>5400000</v>
      </c>
      <c r="H4201" s="64"/>
      <c r="I4201" s="64"/>
      <c r="J4201" s="64">
        <v>46217.3</v>
      </c>
      <c r="K4201" s="18">
        <f>+G4201-H4201-I4201-J4201</f>
        <v>5353782.7</v>
      </c>
      <c r="L4201" s="19">
        <f>+L4200-G4201</f>
        <v>24000000</v>
      </c>
      <c r="M4201" s="20"/>
      <c r="N4201" s="20"/>
      <c r="O4201" s="149">
        <f>+VLOOKUP(A4200,'[1]ANEXO 7 - PPTO VIG 2021'!$H$8:$AB$160,21,)-L4205</f>
        <v>0</v>
      </c>
      <c r="P4201" s="55">
        <v>9423891937</v>
      </c>
      <c r="Q4201" s="98">
        <v>44409</v>
      </c>
      <c r="R4201" s="14">
        <v>300000</v>
      </c>
      <c r="S4201" s="14">
        <v>384000</v>
      </c>
      <c r="T4201" s="63">
        <f>+L4200</f>
        <v>29400000</v>
      </c>
      <c r="U4201" s="3">
        <f>+T4201*40%</f>
        <v>11760000</v>
      </c>
      <c r="W4201" s="31" t="e">
        <v>#N/A</v>
      </c>
      <c r="X4201" s="131" t="e">
        <f>+E4201-W4201</f>
        <v>#N/A</v>
      </c>
    </row>
    <row r="4202" spans="1:24" ht="15" hidden="1" x14ac:dyDescent="0.25">
      <c r="B4202" s="89">
        <v>44481.083333333336</v>
      </c>
      <c r="C4202" s="200" t="s">
        <v>3916</v>
      </c>
      <c r="E4202" s="138">
        <v>6000000</v>
      </c>
      <c r="G4202" s="37">
        <f>+E4202</f>
        <v>6000000</v>
      </c>
      <c r="I4202" s="138">
        <v>14875.1</v>
      </c>
      <c r="J4202" s="138">
        <v>51352.56</v>
      </c>
      <c r="K4202" s="18">
        <f>+G4202-H4202-I4202-J4202</f>
        <v>5933772.3400000008</v>
      </c>
      <c r="L4202" s="19">
        <f>+L4201-G4202</f>
        <v>18000000</v>
      </c>
      <c r="P4202" s="21">
        <v>9424902922</v>
      </c>
      <c r="Q4202" s="98">
        <v>44440</v>
      </c>
      <c r="R4202" s="14">
        <v>300000</v>
      </c>
      <c r="S4202" s="14">
        <v>384000</v>
      </c>
      <c r="U4202" s="3"/>
    </row>
    <row r="4203" spans="1:24" ht="15" hidden="1" x14ac:dyDescent="0.25">
      <c r="B4203" s="89">
        <v>44508.125</v>
      </c>
      <c r="C4203" s="200" t="s">
        <v>3917</v>
      </c>
      <c r="E4203" s="138">
        <v>6000000</v>
      </c>
      <c r="G4203" s="37">
        <f>+E4203</f>
        <v>6000000</v>
      </c>
      <c r="I4203" s="138">
        <v>14875.1</v>
      </c>
      <c r="J4203" s="138">
        <v>51352.56</v>
      </c>
      <c r="K4203" s="18">
        <f>+G4203-H4203-I4203-J4203</f>
        <v>5933772.3400000008</v>
      </c>
      <c r="L4203" s="19">
        <f>+L4202-G4203</f>
        <v>12000000</v>
      </c>
      <c r="P4203" s="21">
        <v>9425832611</v>
      </c>
      <c r="Q4203" s="98">
        <v>44470</v>
      </c>
      <c r="R4203" s="14">
        <v>300000</v>
      </c>
      <c r="S4203" s="14">
        <v>384000</v>
      </c>
      <c r="U4203" s="3">
        <f>+U4201*12.5%</f>
        <v>1470000</v>
      </c>
      <c r="V4203" s="172" t="s">
        <v>2769</v>
      </c>
    </row>
    <row r="4204" spans="1:24" ht="15" hidden="1" x14ac:dyDescent="0.25">
      <c r="B4204" s="89">
        <v>44540.125</v>
      </c>
      <c r="C4204" s="200" t="s">
        <v>3918</v>
      </c>
      <c r="E4204" s="138">
        <v>6000000</v>
      </c>
      <c r="G4204" s="37">
        <f>+E4204</f>
        <v>6000000</v>
      </c>
      <c r="I4204" s="138">
        <v>14875.1</v>
      </c>
      <c r="J4204" s="138">
        <v>51352.56</v>
      </c>
      <c r="K4204" s="18">
        <f>+G4204-H4204-I4204-J4204</f>
        <v>5933772.3400000008</v>
      </c>
      <c r="L4204" s="19">
        <f>+L4203-G4204</f>
        <v>6000000</v>
      </c>
      <c r="P4204" s="21">
        <v>9427452767</v>
      </c>
      <c r="Q4204" s="98">
        <v>44501</v>
      </c>
      <c r="R4204" s="14">
        <v>300000</v>
      </c>
      <c r="S4204" s="14">
        <v>384000</v>
      </c>
      <c r="U4204" s="3">
        <f>+U4201*16%</f>
        <v>1881600</v>
      </c>
      <c r="V4204" s="173" t="s">
        <v>2771</v>
      </c>
    </row>
    <row r="4205" spans="1:24" ht="15" hidden="1" x14ac:dyDescent="0.25">
      <c r="B4205" s="89">
        <v>44551.125</v>
      </c>
      <c r="C4205" s="200" t="s">
        <v>3919</v>
      </c>
      <c r="E4205" s="138">
        <v>6000000</v>
      </c>
      <c r="G4205" s="37">
        <f>+E4205</f>
        <v>6000000</v>
      </c>
      <c r="I4205" s="138">
        <v>14875.1</v>
      </c>
      <c r="J4205" s="138">
        <v>51352.56</v>
      </c>
      <c r="K4205" s="18">
        <f>+G4205-H4205-I4205-J4205</f>
        <v>5933772.3400000008</v>
      </c>
      <c r="L4205" s="19">
        <f>+L4204-G4205</f>
        <v>0</v>
      </c>
      <c r="P4205" s="21">
        <v>9428277225</v>
      </c>
      <c r="Q4205" s="98">
        <v>44531</v>
      </c>
      <c r="R4205" s="14">
        <v>300000</v>
      </c>
      <c r="S4205" s="14">
        <v>384000</v>
      </c>
    </row>
    <row r="4206" spans="1:24" ht="15" hidden="1" x14ac:dyDescent="0.25">
      <c r="B4206" s="89"/>
      <c r="G4206" s="37"/>
      <c r="K4206" s="18"/>
      <c r="L4206" s="19"/>
      <c r="Q4206" s="98"/>
      <c r="R4206" s="213">
        <f>SUM(R4201:R4205)</f>
        <v>1500000</v>
      </c>
      <c r="S4206" s="111">
        <f>SUM(S4201:S4205)</f>
        <v>1920000</v>
      </c>
    </row>
    <row r="4207" spans="1:24" s="31" customFormat="1" ht="15" hidden="1" x14ac:dyDescent="0.25">
      <c r="A4207" s="31">
        <v>5432021</v>
      </c>
      <c r="B4207" s="139" t="s">
        <v>3920</v>
      </c>
      <c r="C4207" s="140"/>
      <c r="D4207" s="141">
        <v>49920000</v>
      </c>
      <c r="E4207" s="141">
        <f>+D4207</f>
        <v>49920000</v>
      </c>
      <c r="F4207" s="141"/>
      <c r="G4207" s="141"/>
      <c r="H4207" s="141"/>
      <c r="I4207" s="141"/>
      <c r="J4207" s="141"/>
      <c r="K4207" s="141"/>
      <c r="L4207" s="141">
        <f>+D4207</f>
        <v>49920000</v>
      </c>
      <c r="M4207" s="142"/>
      <c r="N4207" s="142"/>
      <c r="P4207" s="126"/>
      <c r="Q4207" s="126"/>
      <c r="R4207" s="29"/>
      <c r="S4207" s="29"/>
      <c r="T4207" s="30"/>
    </row>
    <row r="4208" spans="1:24" s="31" customFormat="1" ht="15" hidden="1" x14ac:dyDescent="0.25">
      <c r="B4208" s="89">
        <v>44447.083333333336</v>
      </c>
      <c r="C4208" s="92" t="s">
        <v>3921</v>
      </c>
      <c r="D4208" s="23"/>
      <c r="E4208" s="91">
        <v>7973333</v>
      </c>
      <c r="F4208" s="93"/>
      <c r="G4208" s="93">
        <f>+E4208</f>
        <v>7973333</v>
      </c>
      <c r="H4208" s="94"/>
      <c r="I4208" s="94">
        <v>491898.13</v>
      </c>
      <c r="J4208" s="94">
        <v>68241.84</v>
      </c>
      <c r="K4208" s="18">
        <f>+G4208-H4208-I4208-J4208</f>
        <v>7413193.0300000003</v>
      </c>
      <c r="L4208" s="19">
        <f>+L4207-G4208</f>
        <v>41946667</v>
      </c>
      <c r="M4208" s="96"/>
      <c r="N4208" s="96"/>
      <c r="O4208" s="149">
        <f>+VLOOKUP(A4207,'[1]ANEXO 7 - PPTO VIG 2021'!$H$8:$AB$160,21,)-L4212</f>
        <v>-346667</v>
      </c>
      <c r="P4208" s="55">
        <v>9423115193</v>
      </c>
      <c r="Q4208" s="98">
        <v>44378</v>
      </c>
      <c r="R4208" s="14">
        <v>520000</v>
      </c>
      <c r="S4208" s="14">
        <v>707200</v>
      </c>
      <c r="T4208" s="30">
        <f>+L4207-346667</f>
        <v>49573333</v>
      </c>
      <c r="U4208" s="30">
        <f>+T4208*40%</f>
        <v>19829333.199999999</v>
      </c>
      <c r="V4208" s="146"/>
    </row>
    <row r="4209" spans="1:22" s="31" customFormat="1" ht="15" hidden="1" x14ac:dyDescent="0.25">
      <c r="B4209" s="89">
        <v>44480.083333333336</v>
      </c>
      <c r="C4209" s="92" t="s">
        <v>3922</v>
      </c>
      <c r="D4209" s="23"/>
      <c r="E4209" s="91">
        <v>10400000</v>
      </c>
      <c r="F4209" s="93"/>
      <c r="G4209" s="93">
        <f>+E4209</f>
        <v>10400000</v>
      </c>
      <c r="H4209" s="94"/>
      <c r="I4209" s="94">
        <v>803743.99</v>
      </c>
      <c r="J4209" s="94">
        <v>100464</v>
      </c>
      <c r="K4209" s="18">
        <f>+G4209-H4209-I4209-J4209</f>
        <v>9495792.0099999998</v>
      </c>
      <c r="L4209" s="19">
        <f>+L4208-G4209</f>
        <v>31546667</v>
      </c>
      <c r="M4209" s="96"/>
      <c r="N4209" s="96"/>
      <c r="O4209" s="130"/>
      <c r="P4209" s="55">
        <v>9424143164</v>
      </c>
      <c r="Q4209" s="98">
        <v>44409</v>
      </c>
      <c r="R4209" s="14">
        <v>113600</v>
      </c>
      <c r="S4209" s="14">
        <v>145400</v>
      </c>
      <c r="T4209" s="30"/>
      <c r="U4209" s="30"/>
      <c r="V4209" s="146"/>
    </row>
    <row r="4210" spans="1:22" ht="15" hidden="1" x14ac:dyDescent="0.25">
      <c r="B4210" s="89">
        <v>44512.125</v>
      </c>
      <c r="C4210" s="200" t="s">
        <v>3923</v>
      </c>
      <c r="E4210" s="91">
        <v>10400000</v>
      </c>
      <c r="F4210" s="93"/>
      <c r="G4210" s="93">
        <f>+E4210</f>
        <v>10400000</v>
      </c>
      <c r="I4210" s="138">
        <v>550190.01</v>
      </c>
      <c r="J4210" s="138">
        <v>89011.1</v>
      </c>
      <c r="K4210" s="18">
        <f>+G4210-H4210-I4210-J4210</f>
        <v>9760798.8900000006</v>
      </c>
      <c r="L4210" s="19">
        <f>+L4209-G4210</f>
        <v>21146667</v>
      </c>
      <c r="P4210" s="21">
        <v>9425542869</v>
      </c>
      <c r="Q4210" s="98">
        <v>44440</v>
      </c>
      <c r="R4210" s="14">
        <v>520000</v>
      </c>
      <c r="S4210" s="14">
        <v>707200</v>
      </c>
      <c r="U4210" s="3">
        <f>+U4208*12.5%</f>
        <v>2478666.65</v>
      </c>
      <c r="V4210" s="172" t="s">
        <v>2769</v>
      </c>
    </row>
    <row r="4211" spans="1:22" ht="15" hidden="1" x14ac:dyDescent="0.25">
      <c r="B4211" s="89">
        <v>44543.125</v>
      </c>
      <c r="C4211" s="200" t="s">
        <v>3924</v>
      </c>
      <c r="E4211" s="91">
        <v>10400000</v>
      </c>
      <c r="F4211" s="93"/>
      <c r="G4211" s="93">
        <f>+E4211</f>
        <v>10400000</v>
      </c>
      <c r="I4211" s="138">
        <v>550190.01</v>
      </c>
      <c r="J4211" s="138">
        <v>89011.1</v>
      </c>
      <c r="K4211" s="18">
        <f>+G4211-H4211-I4211-J4211</f>
        <v>9760798.8900000006</v>
      </c>
      <c r="L4211" s="19">
        <f>+L4210-G4211</f>
        <v>10746667</v>
      </c>
      <c r="P4211" s="21">
        <v>9427826946</v>
      </c>
      <c r="Q4211" s="98">
        <v>44501</v>
      </c>
      <c r="R4211" s="14">
        <v>520000</v>
      </c>
      <c r="S4211" s="14">
        <v>707200</v>
      </c>
      <c r="U4211" s="3">
        <f>+U4208*16%</f>
        <v>3172693.3119999999</v>
      </c>
      <c r="V4211" s="173" t="s">
        <v>2771</v>
      </c>
    </row>
    <row r="4212" spans="1:22" ht="15" hidden="1" x14ac:dyDescent="0.25">
      <c r="B4212" s="89">
        <v>44560.125</v>
      </c>
      <c r="C4212" s="200" t="s">
        <v>3925</v>
      </c>
      <c r="E4212" s="91">
        <v>10400000</v>
      </c>
      <c r="F4212" s="93"/>
      <c r="G4212" s="93">
        <f>+E4212</f>
        <v>10400000</v>
      </c>
      <c r="I4212" s="138">
        <v>550190.01</v>
      </c>
      <c r="J4212" s="138">
        <v>89011.1</v>
      </c>
      <c r="K4212" s="18">
        <f>+G4212-H4212-I4212-J4212</f>
        <v>9760798.8900000006</v>
      </c>
      <c r="L4212" s="19">
        <f>+L4211-G4212</f>
        <v>346667</v>
      </c>
      <c r="P4212" s="21">
        <v>9428345054</v>
      </c>
      <c r="Q4212" s="98">
        <v>44531</v>
      </c>
      <c r="R4212" s="14">
        <v>520000</v>
      </c>
      <c r="S4212" s="14">
        <v>707200</v>
      </c>
      <c r="U4212" s="212">
        <f>+U4210-R4213</f>
        <v>285066.64999999991</v>
      </c>
    </row>
    <row r="4213" spans="1:22" ht="15" hidden="1" x14ac:dyDescent="0.25">
      <c r="B4213" s="89"/>
      <c r="E4213" s="91"/>
      <c r="F4213" s="93"/>
      <c r="G4213" s="93"/>
      <c r="K4213" s="18"/>
      <c r="L4213" s="19"/>
      <c r="Q4213" s="98"/>
      <c r="R4213" s="213">
        <f>SUM(R4208:R4212)</f>
        <v>2193600</v>
      </c>
      <c r="S4213" s="111">
        <f>SUM(S4208:S4212)</f>
        <v>2974200</v>
      </c>
      <c r="U4213" s="212">
        <f>+U4211-S4213</f>
        <v>198493.31199999992</v>
      </c>
    </row>
    <row r="4214" spans="1:22" s="31" customFormat="1" ht="15" hidden="1" x14ac:dyDescent="0.25">
      <c r="A4214" s="31">
        <v>5472021</v>
      </c>
      <c r="B4214" s="139" t="s">
        <v>3926</v>
      </c>
      <c r="C4214" s="140"/>
      <c r="D4214" s="141">
        <v>30636320</v>
      </c>
      <c r="E4214" s="141">
        <f>+D4214</f>
        <v>30636320</v>
      </c>
      <c r="F4214" s="141"/>
      <c r="G4214" s="141"/>
      <c r="H4214" s="141"/>
      <c r="I4214" s="141"/>
      <c r="J4214" s="141"/>
      <c r="K4214" s="141"/>
      <c r="L4214" s="141">
        <f>+D4214</f>
        <v>30636320</v>
      </c>
      <c r="M4214" s="142"/>
      <c r="N4214" s="142"/>
      <c r="P4214" s="126"/>
      <c r="Q4214" s="126"/>
      <c r="R4214" s="29"/>
      <c r="S4214" s="29"/>
      <c r="T4214" s="30"/>
    </row>
    <row r="4215" spans="1:22" s="31" customFormat="1" ht="15" hidden="1" x14ac:dyDescent="0.25">
      <c r="B4215" s="89">
        <v>44447.083333333336</v>
      </c>
      <c r="C4215" s="92" t="s">
        <v>3927</v>
      </c>
      <c r="D4215" s="23"/>
      <c r="E4215" s="91">
        <v>4284800</v>
      </c>
      <c r="F4215" s="93"/>
      <c r="G4215" s="93">
        <f>+E4215</f>
        <v>4284800</v>
      </c>
      <c r="H4215" s="94"/>
      <c r="I4215" s="94"/>
      <c r="J4215" s="94">
        <v>36672.57</v>
      </c>
      <c r="K4215" s="18">
        <f>+G4215-H4215-I4215-J4215</f>
        <v>4248127.43</v>
      </c>
      <c r="L4215" s="19">
        <f>+L4214-G4215</f>
        <v>26351520</v>
      </c>
      <c r="M4215" s="96"/>
      <c r="N4215" s="96"/>
      <c r="O4215" s="149">
        <f>+VLOOKUP(A4214,'[1]ANEXO 7 - PPTO VIG 2021'!$H$8:$AB$160,21,)-L4219</f>
        <v>-642720</v>
      </c>
      <c r="P4215" s="55">
        <v>52759208</v>
      </c>
      <c r="Q4215" s="98">
        <v>44409</v>
      </c>
      <c r="R4215" s="14">
        <v>113600</v>
      </c>
      <c r="S4215" s="14">
        <v>145400</v>
      </c>
      <c r="T4215" s="30">
        <f>+L4214-642720</f>
        <v>29993600</v>
      </c>
      <c r="U4215" s="146">
        <f>+T4215*40%</f>
        <v>11997440</v>
      </c>
      <c r="V4215" s="146"/>
    </row>
    <row r="4216" spans="1:22" s="31" customFormat="1" ht="15" hidden="1" x14ac:dyDescent="0.25">
      <c r="B4216" s="89">
        <v>44480.083333333336</v>
      </c>
      <c r="C4216" s="92" t="s">
        <v>3928</v>
      </c>
      <c r="D4216" s="23"/>
      <c r="E4216" s="91">
        <v>6427200</v>
      </c>
      <c r="F4216" s="93"/>
      <c r="G4216" s="93">
        <f>+E4216</f>
        <v>6427200</v>
      </c>
      <c r="H4216" s="94"/>
      <c r="I4216" s="94">
        <v>154182.97</v>
      </c>
      <c r="J4216" s="94">
        <v>55008.86</v>
      </c>
      <c r="K4216" s="18">
        <f>+G4216-H4216-I4216-J4216</f>
        <v>6218008.1699999999</v>
      </c>
      <c r="L4216" s="19">
        <f>+L4215-G4216</f>
        <v>19924320</v>
      </c>
      <c r="M4216" s="96"/>
      <c r="N4216" s="96"/>
      <c r="O4216" s="130"/>
      <c r="P4216" s="55">
        <v>53413779</v>
      </c>
      <c r="Q4216" s="98">
        <v>44440</v>
      </c>
      <c r="R4216" s="14">
        <v>321400</v>
      </c>
      <c r="S4216" s="14">
        <v>411400</v>
      </c>
      <c r="T4216" s="30"/>
      <c r="U4216" s="146"/>
      <c r="V4216" s="146"/>
    </row>
    <row r="4217" spans="1:22" s="31" customFormat="1" ht="15" hidden="1" x14ac:dyDescent="0.25">
      <c r="B4217" s="89">
        <v>44524.125</v>
      </c>
      <c r="C4217" s="92" t="s">
        <v>3929</v>
      </c>
      <c r="D4217" s="23"/>
      <c r="E4217" s="91">
        <v>6427200</v>
      </c>
      <c r="F4217" s="93"/>
      <c r="G4217" s="93">
        <f>+E4217</f>
        <v>6427200</v>
      </c>
      <c r="H4217" s="94"/>
      <c r="I4217" s="94">
        <v>154182.97</v>
      </c>
      <c r="J4217" s="94">
        <v>55008.86</v>
      </c>
      <c r="K4217" s="18">
        <f>+G4217-H4217-I4217-J4217</f>
        <v>6218008.1699999999</v>
      </c>
      <c r="L4217" s="19">
        <f>+L4216-G4217</f>
        <v>13497120</v>
      </c>
      <c r="M4217" s="96"/>
      <c r="N4217" s="96"/>
      <c r="O4217" s="130"/>
      <c r="P4217" s="55">
        <v>54567420</v>
      </c>
      <c r="Q4217" s="98">
        <v>44470</v>
      </c>
      <c r="R4217" s="14">
        <v>321400</v>
      </c>
      <c r="S4217" s="14">
        <v>411400</v>
      </c>
      <c r="T4217" s="30"/>
      <c r="U4217" s="146">
        <f>+U4215*12.5%</f>
        <v>1499680</v>
      </c>
      <c r="V4217" s="172" t="s">
        <v>2769</v>
      </c>
    </row>
    <row r="4218" spans="1:22" s="31" customFormat="1" ht="15" hidden="1" x14ac:dyDescent="0.25">
      <c r="B4218" s="89">
        <v>44533.125</v>
      </c>
      <c r="C4218" s="92" t="s">
        <v>3930</v>
      </c>
      <c r="D4218" s="23"/>
      <c r="E4218" s="91">
        <v>6427200</v>
      </c>
      <c r="F4218" s="93"/>
      <c r="G4218" s="93">
        <f>+E4218</f>
        <v>6427200</v>
      </c>
      <c r="H4218" s="94"/>
      <c r="I4218" s="94">
        <v>154182.97</v>
      </c>
      <c r="J4218" s="94">
        <v>55008.86</v>
      </c>
      <c r="K4218" s="18">
        <f>+G4218-H4218-I4218-J4218</f>
        <v>6218008.1699999999</v>
      </c>
      <c r="L4218" s="19">
        <f>+L4217-G4218</f>
        <v>7069920</v>
      </c>
      <c r="M4218" s="96"/>
      <c r="N4218" s="96"/>
      <c r="O4218" s="130"/>
      <c r="P4218" s="55">
        <v>54953237</v>
      </c>
      <c r="Q4218" s="98">
        <v>44501</v>
      </c>
      <c r="R4218" s="14">
        <v>321400</v>
      </c>
      <c r="S4218" s="14">
        <v>411400</v>
      </c>
      <c r="T4218" s="30"/>
      <c r="U4218" s="146">
        <f>+U4215*16%</f>
        <v>1919590.4000000001</v>
      </c>
      <c r="V4218" s="173" t="s">
        <v>2771</v>
      </c>
    </row>
    <row r="4219" spans="1:22" s="31" customFormat="1" ht="15" hidden="1" x14ac:dyDescent="0.25">
      <c r="B4219" s="89">
        <v>44559.125</v>
      </c>
      <c r="C4219" s="92" t="s">
        <v>3931</v>
      </c>
      <c r="D4219" s="23"/>
      <c r="E4219" s="91">
        <v>6427200</v>
      </c>
      <c r="F4219" s="93"/>
      <c r="G4219" s="93">
        <f>+E4219</f>
        <v>6427200</v>
      </c>
      <c r="H4219" s="94"/>
      <c r="I4219" s="94">
        <v>154182.97</v>
      </c>
      <c r="J4219" s="94">
        <v>55008.86</v>
      </c>
      <c r="K4219" s="18">
        <f>+G4219-H4219-I4219-J4219</f>
        <v>6218008.1699999999</v>
      </c>
      <c r="L4219" s="19">
        <f>+L4218-G4219</f>
        <v>642720</v>
      </c>
      <c r="M4219" s="96"/>
      <c r="N4219" s="96"/>
      <c r="O4219" s="130"/>
      <c r="P4219" s="55">
        <v>55341282</v>
      </c>
      <c r="Q4219" s="98">
        <v>44531</v>
      </c>
      <c r="R4219" s="14">
        <v>321400</v>
      </c>
      <c r="S4219" s="14">
        <v>411400</v>
      </c>
      <c r="T4219" s="30"/>
      <c r="U4219" s="146"/>
      <c r="V4219" s="146"/>
    </row>
    <row r="4220" spans="1:22" s="31" customFormat="1" ht="15" hidden="1" x14ac:dyDescent="0.25">
      <c r="B4220" s="89"/>
      <c r="C4220" s="92"/>
      <c r="D4220" s="23"/>
      <c r="E4220" s="91"/>
      <c r="F4220" s="93"/>
      <c r="G4220" s="93"/>
      <c r="H4220" s="94"/>
      <c r="I4220" s="94"/>
      <c r="J4220" s="94"/>
      <c r="K4220" s="18"/>
      <c r="L4220" s="19"/>
      <c r="M4220" s="96"/>
      <c r="N4220" s="96"/>
      <c r="O4220" s="130"/>
      <c r="P4220" s="55"/>
      <c r="Q4220" s="98"/>
      <c r="R4220" s="213">
        <f>SUM(R4215:R4219)</f>
        <v>1399200</v>
      </c>
      <c r="S4220" s="111">
        <f>SUM(S4215:S4219)</f>
        <v>1791000</v>
      </c>
      <c r="T4220" s="30"/>
      <c r="U4220" s="146"/>
      <c r="V4220" s="146"/>
    </row>
    <row r="4221" spans="1:22" s="31" customFormat="1" ht="15" hidden="1" x14ac:dyDescent="0.25">
      <c r="A4221" s="31">
        <v>5572021</v>
      </c>
      <c r="B4221" s="139" t="s">
        <v>3932</v>
      </c>
      <c r="C4221" s="140"/>
      <c r="D4221" s="141">
        <v>28493920</v>
      </c>
      <c r="E4221" s="141">
        <f>+D4221</f>
        <v>28493920</v>
      </c>
      <c r="F4221" s="141"/>
      <c r="G4221" s="141"/>
      <c r="H4221" s="141"/>
      <c r="I4221" s="141"/>
      <c r="J4221" s="141"/>
      <c r="K4221" s="141"/>
      <c r="L4221" s="141">
        <f>+D4221</f>
        <v>28493920</v>
      </c>
      <c r="M4221" s="142"/>
      <c r="N4221" s="142"/>
      <c r="P4221" s="126"/>
      <c r="Q4221" s="126"/>
      <c r="R4221" s="29"/>
      <c r="S4221" s="29"/>
      <c r="T4221" s="30"/>
    </row>
    <row r="4222" spans="1:22" s="31" customFormat="1" ht="15" hidden="1" x14ac:dyDescent="0.25">
      <c r="B4222" s="89">
        <v>44452.083333333336</v>
      </c>
      <c r="C4222" s="92" t="s">
        <v>3933</v>
      </c>
      <c r="D4222" s="23"/>
      <c r="E4222" s="91">
        <v>1285440</v>
      </c>
      <c r="F4222" s="93"/>
      <c r="G4222" s="93">
        <f>+E4222</f>
        <v>1285440</v>
      </c>
      <c r="H4222" s="94"/>
      <c r="I4222" s="94"/>
      <c r="J4222" s="94">
        <v>11749.84</v>
      </c>
      <c r="K4222" s="18">
        <f>+G4222-H4222-I4222-J4222</f>
        <v>1273690.1599999999</v>
      </c>
      <c r="L4222" s="19">
        <f>+L4221-G4222</f>
        <v>27208480</v>
      </c>
      <c r="M4222" s="96"/>
      <c r="N4222" s="96"/>
      <c r="O4222" s="149">
        <f>+VLOOKUP(A4221,'[1]ANEXO 7 - PPTO VIG 2021'!$H$8:$AB$161,21,)-L4226</f>
        <v>-1499680</v>
      </c>
      <c r="P4222" s="55">
        <v>9423723214</v>
      </c>
      <c r="Q4222" s="98">
        <v>44409</v>
      </c>
      <c r="R4222" s="14">
        <v>242274</v>
      </c>
      <c r="S4222" s="14">
        <v>242274</v>
      </c>
      <c r="T4222" s="30">
        <f>+L4221-1499680</f>
        <v>26994240</v>
      </c>
      <c r="U4222" s="30">
        <f>+T4222*40%</f>
        <v>10797696</v>
      </c>
      <c r="V4222" s="146"/>
    </row>
    <row r="4223" spans="1:22" s="31" customFormat="1" ht="15" hidden="1" x14ac:dyDescent="0.25">
      <c r="B4223" s="89">
        <v>44483.083333333336</v>
      </c>
      <c r="C4223" s="92" t="s">
        <v>3934</v>
      </c>
      <c r="D4223" s="23"/>
      <c r="E4223" s="91">
        <v>6427200</v>
      </c>
      <c r="F4223" s="93"/>
      <c r="G4223" s="93">
        <f>+E4223</f>
        <v>6427200</v>
      </c>
      <c r="H4223" s="94"/>
      <c r="I4223" s="94">
        <v>156106.72</v>
      </c>
      <c r="J4223" s="94">
        <v>55008.86</v>
      </c>
      <c r="K4223" s="18">
        <f>+G4223-H4223-I4223-J4223</f>
        <v>6216084.4199999999</v>
      </c>
      <c r="L4223" s="19">
        <f>+L4222-G4223</f>
        <v>20781280</v>
      </c>
      <c r="M4223" s="96"/>
      <c r="N4223" s="96"/>
      <c r="O4223" s="130"/>
      <c r="P4223" s="55">
        <v>9425217178</v>
      </c>
      <c r="Q4223" s="98">
        <v>44440</v>
      </c>
      <c r="R4223" s="14">
        <v>321400</v>
      </c>
      <c r="S4223" s="14">
        <v>411400</v>
      </c>
      <c r="T4223" s="30"/>
      <c r="U4223" s="30"/>
      <c r="V4223" s="146"/>
    </row>
    <row r="4224" spans="1:22" ht="15" hidden="1" x14ac:dyDescent="0.25">
      <c r="B4224" s="89">
        <v>44516.125</v>
      </c>
      <c r="C4224" s="200" t="s">
        <v>3935</v>
      </c>
      <c r="E4224" s="91">
        <v>6427200</v>
      </c>
      <c r="F4224" s="93"/>
      <c r="G4224" s="93">
        <f>+E4224</f>
        <v>6427200</v>
      </c>
      <c r="I4224" s="138">
        <v>156106.72</v>
      </c>
      <c r="J4224" s="138">
        <v>55008.86</v>
      </c>
      <c r="K4224" s="18">
        <f>+G4224-H4224-I4224-J4224</f>
        <v>6216084.4199999999</v>
      </c>
      <c r="L4224" s="19">
        <f>+L4223-G4224</f>
        <v>14354080</v>
      </c>
      <c r="P4224" s="21">
        <v>9426444844</v>
      </c>
      <c r="Q4224" s="98">
        <v>44470</v>
      </c>
      <c r="R4224" s="14">
        <v>321400</v>
      </c>
      <c r="S4224" s="14">
        <v>411400</v>
      </c>
      <c r="U4224" s="3">
        <f>+U4222*12.5%</f>
        <v>1349712</v>
      </c>
      <c r="V4224" s="172" t="s">
        <v>2769</v>
      </c>
    </row>
    <row r="4225" spans="1:22" ht="15" hidden="1" x14ac:dyDescent="0.25">
      <c r="B4225" s="89">
        <v>44540.125</v>
      </c>
      <c r="C4225" s="200" t="s">
        <v>3936</v>
      </c>
      <c r="E4225" s="91">
        <v>6427200</v>
      </c>
      <c r="F4225" s="93"/>
      <c r="G4225" s="93">
        <f>+E4225</f>
        <v>6427200</v>
      </c>
      <c r="I4225" s="138">
        <v>154182.97</v>
      </c>
      <c r="J4225" s="138">
        <v>55008.86</v>
      </c>
      <c r="K4225" s="18">
        <f>+G4225-H4225-I4225-J4225</f>
        <v>6218008.1699999999</v>
      </c>
      <c r="L4225" s="19">
        <f>+L4224-G4225</f>
        <v>7926880</v>
      </c>
      <c r="P4225" s="21">
        <v>9427511262</v>
      </c>
      <c r="Q4225" s="98">
        <v>44501</v>
      </c>
      <c r="R4225" s="14">
        <v>321400</v>
      </c>
      <c r="S4225" s="14">
        <v>411400</v>
      </c>
      <c r="U4225" s="3">
        <f>+U4222*16%</f>
        <v>1727631.3600000001</v>
      </c>
      <c r="V4225" s="173" t="s">
        <v>2771</v>
      </c>
    </row>
    <row r="4226" spans="1:22" ht="15" hidden="1" x14ac:dyDescent="0.25">
      <c r="B4226" s="89">
        <v>44554.125</v>
      </c>
      <c r="C4226" s="200" t="s">
        <v>3937</v>
      </c>
      <c r="E4226" s="91">
        <v>6427200</v>
      </c>
      <c r="F4226" s="93"/>
      <c r="G4226" s="93">
        <f>+E4226</f>
        <v>6427200</v>
      </c>
      <c r="I4226" s="138">
        <v>154182.97</v>
      </c>
      <c r="J4226" s="138">
        <v>55008.86</v>
      </c>
      <c r="K4226" s="18">
        <f>+G4226-H4226-I4226-J4226</f>
        <v>6218008.1699999999</v>
      </c>
      <c r="L4226" s="19">
        <f>+L4225-G4226</f>
        <v>1499680</v>
      </c>
      <c r="P4226" s="21">
        <v>9428114274</v>
      </c>
      <c r="Q4226" s="98">
        <v>44531</v>
      </c>
      <c r="R4226" s="14">
        <v>321400</v>
      </c>
      <c r="S4226" s="14">
        <v>411400</v>
      </c>
    </row>
    <row r="4227" spans="1:22" ht="15" hidden="1" x14ac:dyDescent="0.25">
      <c r="B4227" s="89"/>
      <c r="E4227" s="91"/>
      <c r="F4227" s="93"/>
      <c r="G4227" s="93"/>
      <c r="K4227" s="18"/>
      <c r="L4227" s="19"/>
      <c r="Q4227" s="98"/>
      <c r="R4227" s="213">
        <f>SUM(R4222:R4226)</f>
        <v>1527874</v>
      </c>
      <c r="S4227" s="111">
        <f>SUM(S4222:S4226)</f>
        <v>1887874</v>
      </c>
    </row>
    <row r="4228" spans="1:22" s="31" customFormat="1" ht="15" hidden="1" x14ac:dyDescent="0.25">
      <c r="A4228" s="31">
        <v>5322021</v>
      </c>
      <c r="B4228" s="139" t="s">
        <v>3938</v>
      </c>
      <c r="C4228" s="140"/>
      <c r="D4228" s="141">
        <v>42848000</v>
      </c>
      <c r="E4228" s="141">
        <f>+D4228</f>
        <v>42848000</v>
      </c>
      <c r="F4228" s="141"/>
      <c r="G4228" s="141"/>
      <c r="H4228" s="141"/>
      <c r="I4228" s="141"/>
      <c r="J4228" s="141"/>
      <c r="K4228" s="141"/>
      <c r="L4228" s="141">
        <f>+D4228</f>
        <v>42848000</v>
      </c>
      <c r="M4228" s="142"/>
      <c r="N4228" s="142"/>
      <c r="P4228" s="126"/>
      <c r="Q4228" s="126"/>
      <c r="R4228" s="29"/>
      <c r="S4228" s="29"/>
      <c r="T4228" s="30"/>
    </row>
    <row r="4229" spans="1:22" s="31" customFormat="1" ht="15" hidden="1" x14ac:dyDescent="0.25">
      <c r="B4229" s="89">
        <v>44447.083333333336</v>
      </c>
      <c r="C4229" s="92" t="s">
        <v>3939</v>
      </c>
      <c r="D4229" s="23"/>
      <c r="E4229" s="91">
        <v>1142613</v>
      </c>
      <c r="F4229" s="93"/>
      <c r="G4229" s="93">
        <f t="shared" ref="G4229:G4234" si="838">+E4229</f>
        <v>1142613</v>
      </c>
      <c r="H4229" s="94"/>
      <c r="I4229" s="94"/>
      <c r="J4229" s="94">
        <v>9779.35</v>
      </c>
      <c r="K4229" s="18">
        <f t="shared" ref="K4229:K4234" si="839">+G4229-H4229-I4229-J4229</f>
        <v>1132833.6499999999</v>
      </c>
      <c r="L4229" s="19">
        <f t="shared" ref="L4229:L4234" si="840">+L4228-G4229</f>
        <v>41705387</v>
      </c>
      <c r="M4229" s="96"/>
      <c r="N4229" s="96"/>
      <c r="O4229" s="149">
        <f>+VLOOKUP(A4228,'[1]ANEXO 7 - PPTO VIG 2021'!$H$8:$AB$160,21,)-L4234</f>
        <v>0</v>
      </c>
      <c r="P4229" s="55">
        <v>9423208472</v>
      </c>
      <c r="Q4229" s="98">
        <v>44378</v>
      </c>
      <c r="R4229" s="14">
        <v>375000</v>
      </c>
      <c r="S4229" s="14">
        <v>480000</v>
      </c>
      <c r="T4229" s="30"/>
      <c r="U4229" s="30"/>
      <c r="V4229" s="146"/>
    </row>
    <row r="4230" spans="1:22" s="31" customFormat="1" ht="15" hidden="1" x14ac:dyDescent="0.25">
      <c r="B4230" s="89">
        <v>44447.083333333336</v>
      </c>
      <c r="C4230" s="92" t="s">
        <v>3940</v>
      </c>
      <c r="D4230" s="23"/>
      <c r="E4230" s="91">
        <v>8569600</v>
      </c>
      <c r="F4230" s="93"/>
      <c r="G4230" s="93">
        <f t="shared" si="838"/>
        <v>8569600</v>
      </c>
      <c r="H4230" s="94"/>
      <c r="I4230" s="94">
        <v>429306.77</v>
      </c>
      <c r="J4230" s="94">
        <v>73345.149999999994</v>
      </c>
      <c r="K4230" s="18">
        <f t="shared" si="839"/>
        <v>8066948.0800000001</v>
      </c>
      <c r="L4230" s="19">
        <f t="shared" si="840"/>
        <v>33135787</v>
      </c>
      <c r="M4230" s="96"/>
      <c r="N4230" s="96"/>
      <c r="O4230" s="130"/>
      <c r="P4230" s="21">
        <v>9424476392</v>
      </c>
      <c r="Q4230" s="98">
        <v>44409</v>
      </c>
      <c r="R4230" s="3">
        <v>437500</v>
      </c>
      <c r="S4230" s="3">
        <v>560000</v>
      </c>
      <c r="T4230" s="3"/>
      <c r="U4230" s="3">
        <f>+U4228*12.5%</f>
        <v>0</v>
      </c>
      <c r="V4230" s="172" t="s">
        <v>2769</v>
      </c>
    </row>
    <row r="4231" spans="1:22" ht="15" hidden="1" x14ac:dyDescent="0.25">
      <c r="B4231" s="89">
        <v>44475.083333333336</v>
      </c>
      <c r="C4231" s="200" t="s">
        <v>3941</v>
      </c>
      <c r="E4231" s="138">
        <v>8569600</v>
      </c>
      <c r="G4231" s="93">
        <f t="shared" si="838"/>
        <v>8569600</v>
      </c>
      <c r="I4231" s="138">
        <v>428760.77</v>
      </c>
      <c r="J4231" s="138">
        <v>73345.149999999994</v>
      </c>
      <c r="K4231" s="18">
        <f t="shared" si="839"/>
        <v>8067494.0800000001</v>
      </c>
      <c r="L4231" s="19">
        <f t="shared" si="840"/>
        <v>24566187</v>
      </c>
      <c r="P4231" s="21">
        <v>9425647648</v>
      </c>
      <c r="Q4231" s="98">
        <v>44440</v>
      </c>
      <c r="R4231" s="3">
        <v>437500</v>
      </c>
      <c r="S4231" s="3">
        <v>560000</v>
      </c>
      <c r="U4231" s="3">
        <f>+U4228*16%</f>
        <v>0</v>
      </c>
      <c r="V4231" s="173" t="s">
        <v>2771</v>
      </c>
    </row>
    <row r="4232" spans="1:22" ht="15" hidden="1" x14ac:dyDescent="0.25">
      <c r="B4232" s="89">
        <v>44508.125</v>
      </c>
      <c r="C4232" s="200" t="s">
        <v>3942</v>
      </c>
      <c r="E4232" s="138">
        <v>8569600</v>
      </c>
      <c r="G4232" s="93">
        <f t="shared" si="838"/>
        <v>8569600</v>
      </c>
      <c r="I4232" s="138">
        <v>428760.77</v>
      </c>
      <c r="J4232" s="138">
        <v>73345.149999999994</v>
      </c>
      <c r="K4232" s="18">
        <f t="shared" si="839"/>
        <v>8067494.0800000001</v>
      </c>
      <c r="L4232" s="19">
        <f t="shared" si="840"/>
        <v>15996587</v>
      </c>
      <c r="P4232" s="21">
        <v>9427512878</v>
      </c>
      <c r="Q4232" s="98">
        <v>44470</v>
      </c>
      <c r="R4232" s="3">
        <v>437500</v>
      </c>
      <c r="S4232" s="3">
        <v>560000</v>
      </c>
    </row>
    <row r="4233" spans="1:22" ht="15" hidden="1" x14ac:dyDescent="0.25">
      <c r="B4233" s="89">
        <v>44536.125</v>
      </c>
      <c r="C4233" s="200" t="s">
        <v>3943</v>
      </c>
      <c r="E4233" s="138">
        <v>8569600</v>
      </c>
      <c r="G4233" s="93">
        <f t="shared" si="838"/>
        <v>8569600</v>
      </c>
      <c r="I4233" s="138">
        <v>428760.77</v>
      </c>
      <c r="J4233" s="138">
        <v>73345.149999999994</v>
      </c>
      <c r="K4233" s="18">
        <f t="shared" si="839"/>
        <v>8067494.0800000001</v>
      </c>
      <c r="L4233" s="19">
        <f t="shared" si="840"/>
        <v>7426987</v>
      </c>
      <c r="P4233" s="21">
        <v>9428199061</v>
      </c>
      <c r="Q4233" s="98">
        <v>44501</v>
      </c>
      <c r="R4233" s="3">
        <v>437500</v>
      </c>
      <c r="S4233" s="3">
        <v>560000</v>
      </c>
    </row>
    <row r="4234" spans="1:22" ht="15" hidden="1" x14ac:dyDescent="0.25">
      <c r="B4234" s="89">
        <v>44560.125</v>
      </c>
      <c r="C4234" s="200" t="s">
        <v>3944</v>
      </c>
      <c r="E4234" s="138">
        <v>7426987</v>
      </c>
      <c r="G4234" s="93">
        <f t="shared" si="838"/>
        <v>7426987</v>
      </c>
      <c r="I4234" s="138">
        <v>279727.11</v>
      </c>
      <c r="J4234" s="138">
        <v>63565.8</v>
      </c>
      <c r="K4234" s="18">
        <f t="shared" si="839"/>
        <v>7083694.0899999999</v>
      </c>
      <c r="L4234" s="19">
        <f t="shared" si="840"/>
        <v>0</v>
      </c>
      <c r="P4234" s="21">
        <v>9428225941</v>
      </c>
      <c r="Q4234" s="98">
        <v>44531</v>
      </c>
      <c r="R4234" s="3">
        <v>437500</v>
      </c>
      <c r="S4234" s="3">
        <v>560000</v>
      </c>
    </row>
    <row r="4235" spans="1:22" ht="15" hidden="1" x14ac:dyDescent="0.25">
      <c r="B4235" s="89"/>
      <c r="G4235" s="93"/>
      <c r="K4235" s="18"/>
      <c r="L4235" s="19"/>
      <c r="Q4235" s="98"/>
      <c r="R4235" s="213">
        <f>SUM(R4229:R4234)</f>
        <v>2562500</v>
      </c>
      <c r="S4235" s="111">
        <f>SUM(S4229:S4234)</f>
        <v>3280000</v>
      </c>
    </row>
    <row r="4236" spans="1:22" ht="15" hidden="1" x14ac:dyDescent="0.25">
      <c r="B4236" s="89"/>
      <c r="G4236" s="93"/>
      <c r="K4236" s="18"/>
      <c r="L4236" s="19"/>
      <c r="Q4236" s="98"/>
    </row>
    <row r="4237" spans="1:22" s="31" customFormat="1" ht="15" hidden="1" x14ac:dyDescent="0.25">
      <c r="A4237" s="31">
        <v>5582021</v>
      </c>
      <c r="B4237" s="139" t="s">
        <v>3945</v>
      </c>
      <c r="C4237" s="140"/>
      <c r="D4237" s="141">
        <v>16120000</v>
      </c>
      <c r="E4237" s="141">
        <f>+D4237</f>
        <v>16120000</v>
      </c>
      <c r="F4237" s="141"/>
      <c r="G4237" s="141"/>
      <c r="H4237" s="141"/>
      <c r="I4237" s="141"/>
      <c r="J4237" s="141"/>
      <c r="K4237" s="141"/>
      <c r="L4237" s="141">
        <f>+D4237</f>
        <v>16120000</v>
      </c>
      <c r="M4237" s="142"/>
      <c r="N4237" s="142"/>
      <c r="P4237" s="126"/>
      <c r="Q4237" s="126"/>
      <c r="R4237" s="29"/>
      <c r="S4237" s="29"/>
      <c r="T4237" s="30"/>
    </row>
    <row r="4238" spans="1:22" s="31" customFormat="1" ht="15" hidden="1" x14ac:dyDescent="0.25">
      <c r="B4238" s="89">
        <v>44459.083333333336</v>
      </c>
      <c r="C4238" s="92" t="s">
        <v>3946</v>
      </c>
      <c r="D4238" s="23"/>
      <c r="E4238" s="23">
        <v>620000</v>
      </c>
      <c r="F4238" s="93"/>
      <c r="G4238" s="93">
        <f>+E4238</f>
        <v>620000</v>
      </c>
      <c r="H4238" s="94"/>
      <c r="I4238" s="94"/>
      <c r="J4238" s="94">
        <v>5306.43</v>
      </c>
      <c r="K4238" s="18">
        <f>+G4238-H4238-I4238-J4238</f>
        <v>614693.56999999995</v>
      </c>
      <c r="L4238" s="19">
        <f>+L4237-G4238</f>
        <v>15500000</v>
      </c>
      <c r="M4238" s="96"/>
      <c r="N4238" s="96"/>
      <c r="O4238" s="149">
        <f>+VLOOKUP(A4237,'[1]ANEXO 7 - PPTO VIG 2021'!$H$8:$AB$162,21,)-L4242</f>
        <v>-620000</v>
      </c>
      <c r="P4238" s="55">
        <v>53101965</v>
      </c>
      <c r="Q4238" s="98">
        <v>44409</v>
      </c>
      <c r="R4238" s="14">
        <v>347200</v>
      </c>
      <c r="S4238" s="14">
        <v>347200</v>
      </c>
      <c r="T4238" s="30">
        <f>+L4237-620000</f>
        <v>15500000</v>
      </c>
      <c r="U4238" s="146">
        <f>+T4238*40%</f>
        <v>6200000</v>
      </c>
      <c r="V4238" s="146"/>
    </row>
    <row r="4239" spans="1:22" s="31" customFormat="1" ht="15" hidden="1" x14ac:dyDescent="0.25">
      <c r="B4239" s="89">
        <v>44481.083333333336</v>
      </c>
      <c r="C4239" s="92" t="s">
        <v>3947</v>
      </c>
      <c r="D4239" s="23"/>
      <c r="E4239" s="91">
        <v>3720000</v>
      </c>
      <c r="F4239" s="93"/>
      <c r="G4239" s="93">
        <f>+E4239</f>
        <v>3720000</v>
      </c>
      <c r="H4239" s="94"/>
      <c r="I4239" s="94"/>
      <c r="J4239" s="94">
        <v>31838.59</v>
      </c>
      <c r="K4239" s="18">
        <f>+G4239-H4239-I4239-J4239</f>
        <v>3688161.41</v>
      </c>
      <c r="L4239" s="19">
        <f>+L4238-G4239</f>
        <v>11780000</v>
      </c>
      <c r="M4239" s="96"/>
      <c r="N4239" s="96"/>
      <c r="O4239" s="130"/>
      <c r="P4239" s="55">
        <v>53095719</v>
      </c>
      <c r="Q4239" s="98">
        <v>44440</v>
      </c>
      <c r="R4239" s="14">
        <v>186000</v>
      </c>
      <c r="S4239" s="14">
        <v>238100</v>
      </c>
      <c r="T4239" s="30"/>
      <c r="U4239" s="146"/>
      <c r="V4239" s="146"/>
    </row>
    <row r="4240" spans="1:22" ht="15" hidden="1" x14ac:dyDescent="0.25">
      <c r="B4240" s="89">
        <v>44508.125</v>
      </c>
      <c r="C4240" s="200" t="s">
        <v>3948</v>
      </c>
      <c r="E4240" s="91">
        <v>3720000</v>
      </c>
      <c r="F4240" s="93"/>
      <c r="G4240" s="93">
        <f>+E4240</f>
        <v>3720000</v>
      </c>
      <c r="J4240" s="138">
        <v>31838.59</v>
      </c>
      <c r="K4240" s="18">
        <f>+G4240-H4240-I4240-J4240</f>
        <v>3688161.41</v>
      </c>
      <c r="L4240" s="19">
        <f>+L4239-G4240</f>
        <v>8060000</v>
      </c>
      <c r="P4240" s="21">
        <v>54313079</v>
      </c>
      <c r="Q4240" s="98">
        <v>44470</v>
      </c>
      <c r="R4240" s="14">
        <v>186000</v>
      </c>
      <c r="S4240" s="14">
        <v>238100</v>
      </c>
      <c r="U4240" s="3">
        <f>+U4238*12.5%</f>
        <v>775000</v>
      </c>
      <c r="V4240" s="172" t="s">
        <v>11</v>
      </c>
    </row>
    <row r="4241" spans="1:22" ht="15" hidden="1" x14ac:dyDescent="0.25">
      <c r="B4241" s="89">
        <v>44543.125</v>
      </c>
      <c r="C4241" s="200" t="s">
        <v>3949</v>
      </c>
      <c r="E4241" s="91">
        <v>3720000</v>
      </c>
      <c r="F4241" s="93"/>
      <c r="G4241" s="93">
        <f>+E4241</f>
        <v>3720000</v>
      </c>
      <c r="J4241" s="138">
        <v>31838.59</v>
      </c>
      <c r="K4241" s="18">
        <f>+G4241-H4241-I4241-J4241</f>
        <v>3688161.41</v>
      </c>
      <c r="L4241" s="19">
        <f>+L4240-G4241</f>
        <v>4340000</v>
      </c>
      <c r="P4241" s="21">
        <v>54999117</v>
      </c>
      <c r="Q4241" s="214">
        <v>44501</v>
      </c>
      <c r="R4241" s="14">
        <v>186000</v>
      </c>
      <c r="S4241" s="14">
        <v>238100</v>
      </c>
      <c r="U4241" s="3">
        <f>+U4238*16%</f>
        <v>992000</v>
      </c>
      <c r="V4241" s="173" t="s">
        <v>12</v>
      </c>
    </row>
    <row r="4242" spans="1:22" ht="15" hidden="1" x14ac:dyDescent="0.25">
      <c r="B4242" s="89">
        <v>44550.125</v>
      </c>
      <c r="C4242" s="200" t="s">
        <v>3950</v>
      </c>
      <c r="E4242" s="91">
        <v>3720000</v>
      </c>
      <c r="F4242" s="93"/>
      <c r="G4242" s="93">
        <f>+E4242</f>
        <v>3720000</v>
      </c>
      <c r="J4242" s="138">
        <v>31838.59</v>
      </c>
      <c r="K4242" s="18">
        <f>+G4242-H4242-I4242-J4242</f>
        <v>3688161.41</v>
      </c>
      <c r="L4242" s="19">
        <f>+L4241-G4242</f>
        <v>620000</v>
      </c>
      <c r="P4242" s="21">
        <v>55368617</v>
      </c>
      <c r="Q4242" s="214">
        <v>44531</v>
      </c>
      <c r="R4242" s="14">
        <v>186000</v>
      </c>
      <c r="S4242" s="14">
        <v>238100</v>
      </c>
    </row>
    <row r="4243" spans="1:22" ht="15" hidden="1" x14ac:dyDescent="0.25">
      <c r="B4243" s="89"/>
      <c r="E4243" s="91"/>
      <c r="F4243" s="93"/>
      <c r="G4243" s="93"/>
      <c r="K4243" s="18"/>
      <c r="L4243" s="19"/>
      <c r="Q4243" s="214"/>
      <c r="R4243" s="213">
        <f>SUM(R4238:R4242)</f>
        <v>1091200</v>
      </c>
      <c r="S4243" s="111">
        <f>SUM(S4238:S4242)</f>
        <v>1299600</v>
      </c>
    </row>
    <row r="4244" spans="1:22" s="31" customFormat="1" ht="15" hidden="1" x14ac:dyDescent="0.25">
      <c r="A4244" s="31">
        <v>5682021</v>
      </c>
      <c r="B4244" s="139" t="s">
        <v>3951</v>
      </c>
      <c r="C4244" s="140"/>
      <c r="D4244" s="141">
        <v>38563200</v>
      </c>
      <c r="E4244" s="141">
        <f>+D4244</f>
        <v>38563200</v>
      </c>
      <c r="F4244" s="141"/>
      <c r="G4244" s="141"/>
      <c r="H4244" s="141"/>
      <c r="I4244" s="141"/>
      <c r="J4244" s="141"/>
      <c r="K4244" s="141"/>
      <c r="L4244" s="141">
        <f>+D4244</f>
        <v>38563200</v>
      </c>
      <c r="M4244" s="142"/>
      <c r="N4244" s="142"/>
      <c r="P4244" s="126"/>
      <c r="Q4244" s="126"/>
      <c r="R4244" s="29"/>
      <c r="S4244" s="29"/>
      <c r="T4244" s="30"/>
    </row>
    <row r="4245" spans="1:22" s="31" customFormat="1" ht="15" hidden="1" x14ac:dyDescent="0.25">
      <c r="B4245" s="89">
        <v>44476.083333333336</v>
      </c>
      <c r="C4245" s="92" t="s">
        <v>3952</v>
      </c>
      <c r="D4245" s="23"/>
      <c r="E4245" s="23">
        <v>9319440</v>
      </c>
      <c r="F4245" s="93"/>
      <c r="G4245" s="93">
        <f>+E4245</f>
        <v>9319440</v>
      </c>
      <c r="H4245" s="94">
        <v>223196.7</v>
      </c>
      <c r="I4245" s="94">
        <v>316283.89</v>
      </c>
      <c r="J4245" s="94">
        <v>67027.600000000006</v>
      </c>
      <c r="K4245" s="18">
        <f>+G4245-H4245-I4245-J4245</f>
        <v>8712931.8100000005</v>
      </c>
      <c r="L4245" s="19">
        <f>+L4244-G4245</f>
        <v>29243760</v>
      </c>
      <c r="M4245" s="96"/>
      <c r="N4245" s="96"/>
      <c r="O4245" s="149">
        <f>+VLOOKUP(A4244,'[1]ANEXO 7 - PPTO VIG 2021'!$H$8:$AB$163,21,)-L4248</f>
        <v>-321360</v>
      </c>
      <c r="P4245" s="55">
        <v>52868475</v>
      </c>
      <c r="Q4245" s="98">
        <v>44409</v>
      </c>
      <c r="R4245" s="14">
        <v>1062500</v>
      </c>
      <c r="S4245" s="14">
        <v>1445000</v>
      </c>
      <c r="T4245" s="30">
        <f>+L4244-321360</f>
        <v>38241840</v>
      </c>
      <c r="U4245" s="30">
        <f>+T4245*40%</f>
        <v>15296736</v>
      </c>
      <c r="V4245" s="146"/>
    </row>
    <row r="4246" spans="1:22" s="31" customFormat="1" ht="15" hidden="1" x14ac:dyDescent="0.25">
      <c r="B4246" s="89">
        <v>44511.125</v>
      </c>
      <c r="C4246" s="92" t="s">
        <v>3953</v>
      </c>
      <c r="D4246" s="23"/>
      <c r="E4246" s="91">
        <v>9640800</v>
      </c>
      <c r="F4246" s="93"/>
      <c r="G4246" s="93">
        <f>+E4246</f>
        <v>9640800</v>
      </c>
      <c r="H4246" s="94">
        <v>230893.05</v>
      </c>
      <c r="I4246" s="94">
        <v>350225.26</v>
      </c>
      <c r="J4246" s="94">
        <v>69338.91</v>
      </c>
      <c r="K4246" s="18">
        <f>+G4246-H4246-I4246-J4246</f>
        <v>8990342.7799999993</v>
      </c>
      <c r="L4246" s="19">
        <f>+L4245-G4246</f>
        <v>19602960</v>
      </c>
      <c r="M4246" s="96"/>
      <c r="N4246" s="96"/>
      <c r="O4246" s="130"/>
      <c r="P4246" s="55">
        <v>53548217</v>
      </c>
      <c r="Q4246" s="98">
        <v>44440</v>
      </c>
      <c r="R4246" s="14">
        <v>1062500</v>
      </c>
      <c r="S4246" s="14">
        <v>1445000</v>
      </c>
      <c r="T4246" s="30"/>
      <c r="U4246" s="30"/>
      <c r="V4246" s="146"/>
    </row>
    <row r="4247" spans="1:22" ht="15" hidden="1" x14ac:dyDescent="0.25">
      <c r="B4247" s="89">
        <v>44539.125</v>
      </c>
      <c r="C4247" s="200" t="s">
        <v>3954</v>
      </c>
      <c r="E4247" s="91">
        <v>9640800</v>
      </c>
      <c r="F4247" s="93"/>
      <c r="G4247" s="93">
        <f>+E4247</f>
        <v>9640800</v>
      </c>
      <c r="H4247" s="138">
        <v>230893.05</v>
      </c>
      <c r="I4247" s="138">
        <v>350225.26</v>
      </c>
      <c r="J4247" s="138">
        <v>69338.91</v>
      </c>
      <c r="K4247" s="18">
        <f>+G4247-H4247-I4247-J4247</f>
        <v>8990342.7799999993</v>
      </c>
      <c r="L4247" s="19">
        <f>+L4246-G4247</f>
        <v>9962160</v>
      </c>
      <c r="P4247" s="21">
        <v>54229585</v>
      </c>
      <c r="Q4247" s="98">
        <v>44470</v>
      </c>
      <c r="R4247" s="14">
        <v>1062500</v>
      </c>
      <c r="S4247" s="14">
        <v>1445000</v>
      </c>
      <c r="U4247" s="3">
        <f>+U4245*12.5%</f>
        <v>1912092</v>
      </c>
      <c r="V4247" s="172" t="s">
        <v>11</v>
      </c>
    </row>
    <row r="4248" spans="1:22" ht="15" hidden="1" x14ac:dyDescent="0.25">
      <c r="B4248" s="89">
        <v>44553.125</v>
      </c>
      <c r="C4248" s="200" t="s">
        <v>3955</v>
      </c>
      <c r="E4248" s="91">
        <v>9640800</v>
      </c>
      <c r="F4248" s="93"/>
      <c r="G4248" s="93">
        <f>+E4248</f>
        <v>9640800</v>
      </c>
      <c r="H4248" s="138">
        <v>230893.05</v>
      </c>
      <c r="I4248" s="138">
        <v>350225.26</v>
      </c>
      <c r="J4248" s="138">
        <v>69338.91</v>
      </c>
      <c r="K4248" s="18">
        <f>+G4248-H4248-I4248-J4248</f>
        <v>8990342.7799999993</v>
      </c>
      <c r="L4248" s="19">
        <f>+L4247-G4248</f>
        <v>321360</v>
      </c>
      <c r="P4248" s="21">
        <v>54915376</v>
      </c>
      <c r="Q4248" s="98">
        <v>44501</v>
      </c>
      <c r="R4248" s="14">
        <v>1062500</v>
      </c>
      <c r="S4248" s="14">
        <v>1445000</v>
      </c>
      <c r="U4248" s="3">
        <f>+U4245*16%</f>
        <v>2447477.7600000002</v>
      </c>
      <c r="V4248" s="173" t="s">
        <v>12</v>
      </c>
    </row>
    <row r="4249" spans="1:22" ht="15" hidden="1" x14ac:dyDescent="0.25">
      <c r="P4249" s="21">
        <v>55322739</v>
      </c>
      <c r="Q4249" s="98">
        <v>44531</v>
      </c>
      <c r="R4249" s="14">
        <v>1062500</v>
      </c>
      <c r="S4249" s="14">
        <v>1445000</v>
      </c>
    </row>
    <row r="4250" spans="1:22" ht="15" hidden="1" x14ac:dyDescent="0.25">
      <c r="Q4250" s="98"/>
      <c r="R4250" s="213">
        <f>SUM(R4245:R4249)</f>
        <v>5312500</v>
      </c>
      <c r="S4250" s="111">
        <f>SUM(S4245:S4249)</f>
        <v>7225000</v>
      </c>
    </row>
    <row r="4251" spans="1:22" s="31" customFormat="1" ht="15" hidden="1" x14ac:dyDescent="0.25">
      <c r="A4251" s="31">
        <v>5522021</v>
      </c>
      <c r="B4251" s="139" t="s">
        <v>3956</v>
      </c>
      <c r="C4251" s="140"/>
      <c r="D4251" s="141">
        <v>28279680</v>
      </c>
      <c r="E4251" s="141">
        <f>+D4251</f>
        <v>28279680</v>
      </c>
      <c r="F4251" s="141"/>
      <c r="G4251" s="141"/>
      <c r="H4251" s="141"/>
      <c r="I4251" s="141"/>
      <c r="J4251" s="141"/>
      <c r="K4251" s="141"/>
      <c r="L4251" s="141">
        <f>+D4251</f>
        <v>28279680</v>
      </c>
      <c r="M4251" s="142"/>
      <c r="N4251" s="142"/>
      <c r="P4251" s="126"/>
      <c r="Q4251" s="126"/>
      <c r="R4251" s="29"/>
      <c r="S4251" s="29"/>
      <c r="T4251" s="30"/>
    </row>
    <row r="4252" spans="1:22" s="31" customFormat="1" ht="15" hidden="1" x14ac:dyDescent="0.25">
      <c r="B4252" s="89">
        <v>44480.083333333336</v>
      </c>
      <c r="C4252" s="92" t="s">
        <v>3957</v>
      </c>
      <c r="D4252" s="23"/>
      <c r="E4252" s="23">
        <v>2570880</v>
      </c>
      <c r="F4252" s="93"/>
      <c r="G4252" s="93">
        <f>+E4252</f>
        <v>2570880</v>
      </c>
      <c r="H4252" s="94"/>
      <c r="I4252" s="94"/>
      <c r="J4252" s="94">
        <v>22003.54</v>
      </c>
      <c r="K4252" s="18">
        <f>+G4252-H4252-I4252-J4252</f>
        <v>2548876.46</v>
      </c>
      <c r="L4252" s="19">
        <f>+L4251-G4252</f>
        <v>25708800</v>
      </c>
      <c r="M4252" s="96"/>
      <c r="N4252" s="96"/>
      <c r="O4252" s="149">
        <f>+VLOOKUP(A4251,'[1]ANEXO 7 - PPTO VIG 2021'!$H$8:$AB$162,21,)-L4258</f>
        <v>0</v>
      </c>
      <c r="P4252" s="55">
        <v>9425164071</v>
      </c>
      <c r="Q4252" s="98">
        <v>44409</v>
      </c>
      <c r="R4252" s="14">
        <v>65100</v>
      </c>
      <c r="S4252" s="14">
        <v>83400</v>
      </c>
      <c r="T4252" s="30">
        <f>+L4251</f>
        <v>28279680</v>
      </c>
      <c r="U4252" s="30">
        <f>+T4252*40%</f>
        <v>11311872</v>
      </c>
      <c r="V4252" s="146"/>
    </row>
    <row r="4253" spans="1:22" s="31" customFormat="1" ht="15" hidden="1" x14ac:dyDescent="0.25">
      <c r="B4253" s="89"/>
      <c r="C4253" s="92"/>
      <c r="D4253" s="23"/>
      <c r="E4253" s="23"/>
      <c r="F4253" s="93"/>
      <c r="G4253" s="93"/>
      <c r="H4253" s="94"/>
      <c r="I4253" s="94"/>
      <c r="J4253" s="94"/>
      <c r="K4253" s="18"/>
      <c r="L4253" s="19"/>
      <c r="M4253" s="96"/>
      <c r="N4253" s="96"/>
      <c r="O4253" s="81"/>
      <c r="P4253" s="55">
        <v>9424632826</v>
      </c>
      <c r="Q4253" s="98">
        <v>44409</v>
      </c>
      <c r="R4253" s="14">
        <v>18300</v>
      </c>
      <c r="S4253" s="14">
        <v>23400</v>
      </c>
      <c r="T4253" s="30"/>
      <c r="U4253" s="30"/>
      <c r="V4253" s="146"/>
    </row>
    <row r="4254" spans="1:22" s="31" customFormat="1" ht="15" hidden="1" x14ac:dyDescent="0.25">
      <c r="B4254" s="89"/>
      <c r="C4254" s="92"/>
      <c r="D4254" s="23"/>
      <c r="E4254" s="23"/>
      <c r="F4254" s="93"/>
      <c r="G4254" s="93"/>
      <c r="H4254" s="94"/>
      <c r="I4254" s="94"/>
      <c r="J4254" s="94"/>
      <c r="K4254" s="18"/>
      <c r="L4254" s="19"/>
      <c r="M4254" s="96"/>
      <c r="N4254" s="96"/>
      <c r="O4254" s="81"/>
      <c r="P4254" s="55">
        <v>9423559979</v>
      </c>
      <c r="Q4254" s="98">
        <v>44409</v>
      </c>
      <c r="R4254" s="14">
        <v>113600</v>
      </c>
      <c r="S4254" s="14">
        <v>145400</v>
      </c>
      <c r="T4254" s="30"/>
      <c r="U4254" s="30"/>
      <c r="V4254" s="146"/>
    </row>
    <row r="4255" spans="1:22" s="31" customFormat="1" ht="15" hidden="1" x14ac:dyDescent="0.25">
      <c r="B4255" s="89">
        <v>44482.083333333336</v>
      </c>
      <c r="C4255" s="92" t="s">
        <v>3958</v>
      </c>
      <c r="D4255" s="23"/>
      <c r="E4255" s="91">
        <v>6427200</v>
      </c>
      <c r="F4255" s="93"/>
      <c r="G4255" s="93">
        <f>+E4255</f>
        <v>6427200</v>
      </c>
      <c r="H4255" s="94"/>
      <c r="I4255" s="94">
        <v>154182.97</v>
      </c>
      <c r="J4255" s="94">
        <v>55008.86</v>
      </c>
      <c r="K4255" s="18">
        <f>+G4255-H4255-I4255-J4255</f>
        <v>6218008.1699999999</v>
      </c>
      <c r="L4255" s="19">
        <f>+L4252-G4255</f>
        <v>19281600</v>
      </c>
      <c r="M4255" s="96"/>
      <c r="N4255" s="96"/>
      <c r="O4255" s="130"/>
      <c r="P4255" s="55">
        <v>9424387134</v>
      </c>
      <c r="Q4255" s="98">
        <v>44440</v>
      </c>
      <c r="R4255" s="14">
        <v>321400</v>
      </c>
      <c r="S4255" s="14">
        <v>411400</v>
      </c>
      <c r="T4255" s="30"/>
      <c r="U4255" s="30"/>
      <c r="V4255" s="146"/>
    </row>
    <row r="4256" spans="1:22" s="31" customFormat="1" ht="15" hidden="1" x14ac:dyDescent="0.25">
      <c r="B4256" s="215">
        <v>44533.125</v>
      </c>
      <c r="C4256" s="216" t="s">
        <v>3959</v>
      </c>
      <c r="D4256" s="217"/>
      <c r="E4256" s="91">
        <v>6427200</v>
      </c>
      <c r="F4256" s="93"/>
      <c r="G4256" s="93">
        <f>+E4256</f>
        <v>6427200</v>
      </c>
      <c r="H4256" s="218"/>
      <c r="I4256" s="218">
        <v>154182.97</v>
      </c>
      <c r="J4256" s="218">
        <v>55008.86</v>
      </c>
      <c r="K4256" s="18">
        <f>+G4256-H4256-I4256-J4256</f>
        <v>6218008.1699999999</v>
      </c>
      <c r="L4256" s="19">
        <f>+L4255-G4256</f>
        <v>12854400</v>
      </c>
      <c r="M4256" s="96"/>
      <c r="N4256" s="96"/>
      <c r="O4256" s="130"/>
      <c r="P4256" s="21">
        <v>9424756187</v>
      </c>
      <c r="Q4256" s="98">
        <v>44470</v>
      </c>
      <c r="R4256" s="14">
        <v>321400</v>
      </c>
      <c r="S4256" s="14">
        <v>411400</v>
      </c>
      <c r="T4256" s="3"/>
      <c r="U4256" s="3">
        <f>+U4252*12%</f>
        <v>1357424.6399999999</v>
      </c>
      <c r="V4256" s="172" t="s">
        <v>11</v>
      </c>
    </row>
    <row r="4257" spans="1:22" ht="15" hidden="1" x14ac:dyDescent="0.25">
      <c r="B4257" s="215">
        <v>44544.125</v>
      </c>
      <c r="C4257" s="200" t="s">
        <v>3960</v>
      </c>
      <c r="E4257" s="91">
        <v>6427200</v>
      </c>
      <c r="F4257" s="93"/>
      <c r="G4257" s="93">
        <f>+E4257</f>
        <v>6427200</v>
      </c>
      <c r="I4257" s="138">
        <v>154182.97</v>
      </c>
      <c r="J4257" s="138">
        <v>55008.86</v>
      </c>
      <c r="K4257" s="18">
        <f>+G4257-H4257-I4257-J4257</f>
        <v>6218008.1699999999</v>
      </c>
      <c r="L4257" s="19">
        <f>+L4256-G4257</f>
        <v>6427200</v>
      </c>
      <c r="P4257" s="21">
        <v>9427188970</v>
      </c>
      <c r="Q4257" s="98">
        <v>44501</v>
      </c>
      <c r="R4257" s="14">
        <v>321400</v>
      </c>
      <c r="S4257" s="14">
        <v>411400</v>
      </c>
      <c r="U4257" s="3">
        <f>+U4252*16%</f>
        <v>1809899.52</v>
      </c>
      <c r="V4257" s="173" t="s">
        <v>12</v>
      </c>
    </row>
    <row r="4258" spans="1:22" ht="15" hidden="1" x14ac:dyDescent="0.25">
      <c r="B4258" s="215">
        <v>44560.125</v>
      </c>
      <c r="C4258" s="200" t="s">
        <v>3961</v>
      </c>
      <c r="E4258" s="91">
        <v>6427200</v>
      </c>
      <c r="F4258" s="93"/>
      <c r="G4258" s="93">
        <f>+E4258</f>
        <v>6427200</v>
      </c>
      <c r="I4258" s="138">
        <v>154182.97</v>
      </c>
      <c r="J4258" s="138">
        <v>55008.86</v>
      </c>
      <c r="K4258" s="18">
        <f>+G4258-H4258-I4258-J4258</f>
        <v>6218008.1699999999</v>
      </c>
      <c r="L4258" s="19">
        <f>+L4257-G4258</f>
        <v>0</v>
      </c>
      <c r="P4258" s="21">
        <v>9428170483</v>
      </c>
      <c r="Q4258" s="98">
        <v>44531</v>
      </c>
      <c r="R4258" s="14">
        <v>321400</v>
      </c>
      <c r="S4258" s="14">
        <v>411400</v>
      </c>
    </row>
    <row r="4259" spans="1:22" ht="15" hidden="1" x14ac:dyDescent="0.25">
      <c r="Q4259" s="98"/>
      <c r="R4259" s="213">
        <f>SUM(R4252:R4258)</f>
        <v>1482600</v>
      </c>
      <c r="S4259" s="111">
        <f>SUM(S4252:S4258)</f>
        <v>1897800</v>
      </c>
    </row>
    <row r="4260" spans="1:22" s="31" customFormat="1" ht="15" hidden="1" x14ac:dyDescent="0.25">
      <c r="A4260" s="31">
        <v>5592021</v>
      </c>
      <c r="B4260" s="139" t="s">
        <v>3962</v>
      </c>
      <c r="C4260" s="140"/>
      <c r="D4260" s="141">
        <v>26994240</v>
      </c>
      <c r="E4260" s="141">
        <f>+D4260</f>
        <v>26994240</v>
      </c>
      <c r="F4260" s="141"/>
      <c r="G4260" s="141"/>
      <c r="H4260" s="141"/>
      <c r="I4260" s="141"/>
      <c r="J4260" s="141"/>
      <c r="K4260" s="141"/>
      <c r="L4260" s="141">
        <f>+D4260</f>
        <v>26994240</v>
      </c>
      <c r="M4260" s="142"/>
      <c r="N4260" s="142"/>
      <c r="P4260" s="126"/>
      <c r="Q4260" s="126"/>
      <c r="R4260" s="29"/>
      <c r="S4260" s="29"/>
      <c r="T4260" s="30"/>
    </row>
    <row r="4261" spans="1:22" s="31" customFormat="1" ht="15" hidden="1" x14ac:dyDescent="0.25">
      <c r="B4261" s="89">
        <v>44482.083333333336</v>
      </c>
      <c r="C4261" s="92" t="s">
        <v>3963</v>
      </c>
      <c r="D4261" s="23"/>
      <c r="E4261" s="23">
        <v>5998720</v>
      </c>
      <c r="F4261" s="93"/>
      <c r="G4261" s="93">
        <f>+E4261</f>
        <v>5998720</v>
      </c>
      <c r="H4261" s="94"/>
      <c r="I4261" s="94">
        <v>14603.48</v>
      </c>
      <c r="J4261" s="94">
        <v>51341.599999999999</v>
      </c>
      <c r="K4261" s="18">
        <f>+G4261-H4261-I4261-J4261</f>
        <v>5932774.9199999999</v>
      </c>
      <c r="L4261" s="19">
        <f>+L4260-G4261</f>
        <v>20995520</v>
      </c>
      <c r="M4261" s="96"/>
      <c r="N4261" s="96"/>
      <c r="O4261" s="149">
        <f>+VLOOKUP(A4260,'[1]ANEXO 7 - PPTO VIG 2021'!$H$8:$AB$162,21,)-L4264</f>
        <v>-1713920</v>
      </c>
      <c r="P4261" s="55">
        <v>9424560435</v>
      </c>
      <c r="Q4261" s="98">
        <v>44440</v>
      </c>
      <c r="R4261" s="14">
        <v>321400</v>
      </c>
      <c r="S4261" s="14">
        <v>411400</v>
      </c>
      <c r="T4261" s="30">
        <f>+L4260-1713920</f>
        <v>25280320</v>
      </c>
      <c r="U4261" s="30">
        <f>+T4261*40%</f>
        <v>10112128</v>
      </c>
      <c r="V4261" s="146"/>
    </row>
    <row r="4262" spans="1:22" ht="15" hidden="1" x14ac:dyDescent="0.25">
      <c r="B4262" s="89">
        <v>44512.125</v>
      </c>
      <c r="C4262" s="200" t="s">
        <v>3964</v>
      </c>
      <c r="E4262" s="138">
        <v>6427200</v>
      </c>
      <c r="G4262" s="93">
        <f>+E4262</f>
        <v>6427200</v>
      </c>
      <c r="I4262" s="138">
        <v>62595.39</v>
      </c>
      <c r="J4262" s="138">
        <v>55008.86</v>
      </c>
      <c r="K4262" s="18">
        <f>+G4262-H4262-I4262-J4262</f>
        <v>6309595.75</v>
      </c>
      <c r="L4262" s="19">
        <f>+L4261-G4262</f>
        <v>14568320</v>
      </c>
      <c r="P4262" s="21">
        <v>9424857508</v>
      </c>
      <c r="Q4262" s="98">
        <v>44470</v>
      </c>
      <c r="R4262" s="14">
        <v>321400</v>
      </c>
      <c r="S4262" s="14">
        <v>411400</v>
      </c>
      <c r="U4262" s="3"/>
    </row>
    <row r="4263" spans="1:22" ht="15" hidden="1" x14ac:dyDescent="0.25">
      <c r="B4263" s="89">
        <v>44536.125</v>
      </c>
      <c r="C4263" s="200" t="s">
        <v>3965</v>
      </c>
      <c r="E4263" s="138">
        <v>6427200</v>
      </c>
      <c r="G4263" s="93">
        <f>+E4263</f>
        <v>6427200</v>
      </c>
      <c r="I4263" s="138">
        <v>62595.39</v>
      </c>
      <c r="J4263" s="138">
        <v>55008.86</v>
      </c>
      <c r="K4263" s="18">
        <f>+G4263-H4263-I4263-J4263</f>
        <v>6309595.75</v>
      </c>
      <c r="L4263" s="19">
        <f>+L4262-G4263</f>
        <v>8141120</v>
      </c>
      <c r="P4263" s="21">
        <v>9426087922</v>
      </c>
      <c r="Q4263" s="98">
        <v>44501</v>
      </c>
      <c r="R4263" s="14">
        <v>321400</v>
      </c>
      <c r="S4263" s="14">
        <v>411400</v>
      </c>
      <c r="U4263" s="3">
        <f>+U4261*12.5%</f>
        <v>1264016</v>
      </c>
      <c r="V4263" s="172" t="s">
        <v>11</v>
      </c>
    </row>
    <row r="4264" spans="1:22" ht="15" hidden="1" x14ac:dyDescent="0.25">
      <c r="B4264" s="89">
        <v>44553.125</v>
      </c>
      <c r="C4264" s="200" t="s">
        <v>3966</v>
      </c>
      <c r="E4264" s="138">
        <v>6427200</v>
      </c>
      <c r="G4264" s="93">
        <f>+E4264</f>
        <v>6427200</v>
      </c>
      <c r="I4264" s="138">
        <v>62595.39</v>
      </c>
      <c r="J4264" s="138">
        <v>55008.86</v>
      </c>
      <c r="K4264" s="18">
        <f>+G4264-H4264-I4264-J4264</f>
        <v>6309595.75</v>
      </c>
      <c r="L4264" s="19">
        <f>+L4263-G4264</f>
        <v>1713920</v>
      </c>
      <c r="P4264" s="21">
        <v>9428115932</v>
      </c>
      <c r="Q4264" s="98">
        <v>44531</v>
      </c>
      <c r="R4264" s="14">
        <v>321400</v>
      </c>
      <c r="S4264" s="14">
        <v>411400</v>
      </c>
      <c r="U4264" s="3">
        <f>+U4261*16%</f>
        <v>1617940.48</v>
      </c>
      <c r="V4264" s="173" t="s">
        <v>12</v>
      </c>
    </row>
    <row r="4265" spans="1:22" ht="15" hidden="1" x14ac:dyDescent="0.25">
      <c r="B4265" s="89"/>
      <c r="G4265" s="93"/>
      <c r="K4265" s="18"/>
      <c r="L4265" s="19"/>
      <c r="Q4265" s="98"/>
      <c r="R4265" s="213">
        <f>SUM(R4261:R4264)</f>
        <v>1285600</v>
      </c>
      <c r="S4265" s="111">
        <f>SUM(S4261:S4264)</f>
        <v>1645600</v>
      </c>
    </row>
    <row r="4266" spans="1:22" s="31" customFormat="1" ht="15" hidden="1" x14ac:dyDescent="0.25">
      <c r="A4266" s="31">
        <v>6022021</v>
      </c>
      <c r="B4266" s="139" t="s">
        <v>3967</v>
      </c>
      <c r="C4266" s="140"/>
      <c r="D4266" s="141">
        <v>32136000</v>
      </c>
      <c r="E4266" s="141">
        <f>+D4266</f>
        <v>32136000</v>
      </c>
      <c r="F4266" s="141"/>
      <c r="G4266" s="141"/>
      <c r="H4266" s="141"/>
      <c r="I4266" s="141"/>
      <c r="J4266" s="141"/>
      <c r="K4266" s="141"/>
      <c r="L4266" s="141">
        <f>+D4266</f>
        <v>32136000</v>
      </c>
      <c r="M4266" s="142"/>
      <c r="N4266" s="142"/>
      <c r="P4266" s="126"/>
      <c r="Q4266" s="126"/>
      <c r="R4266" s="29"/>
      <c r="S4266" s="29"/>
      <c r="T4266" s="30"/>
    </row>
    <row r="4267" spans="1:22" s="31" customFormat="1" ht="15" hidden="1" x14ac:dyDescent="0.25">
      <c r="B4267" s="89">
        <v>44483.083333333336</v>
      </c>
      <c r="C4267" s="92" t="s">
        <v>3968</v>
      </c>
      <c r="D4267" s="23"/>
      <c r="E4267" s="23">
        <v>2570880</v>
      </c>
      <c r="F4267" s="93"/>
      <c r="G4267" s="93">
        <f>+E4267</f>
        <v>2570880</v>
      </c>
      <c r="H4267" s="94"/>
      <c r="I4267" s="94"/>
      <c r="J4267" s="94">
        <v>22332.76</v>
      </c>
      <c r="K4267" s="18">
        <f>+G4267-H4267-I4267-J4267</f>
        <v>2548547.2400000002</v>
      </c>
      <c r="L4267" s="19">
        <f>+L4266-G4267</f>
        <v>29565120</v>
      </c>
      <c r="M4267" s="96"/>
      <c r="N4267" s="96"/>
      <c r="O4267" s="149">
        <f>+VLOOKUP(A4266,'[1]ANEXO 7 - PPTO VIG 2021'!$H$8:$AB$166,21,)-L4270</f>
        <v>-642720</v>
      </c>
      <c r="P4267" s="55">
        <v>7809917179</v>
      </c>
      <c r="Q4267" s="98">
        <v>44440</v>
      </c>
      <c r="R4267" s="14">
        <v>113600</v>
      </c>
      <c r="S4267" s="14">
        <v>145400</v>
      </c>
      <c r="T4267" s="30">
        <f>+L4266-642720</f>
        <v>31493280</v>
      </c>
      <c r="U4267" s="30">
        <f>+T4267*40%</f>
        <v>12597312</v>
      </c>
      <c r="V4267" s="146"/>
    </row>
    <row r="4268" spans="1:22" ht="15" hidden="1" x14ac:dyDescent="0.25">
      <c r="B4268" s="89">
        <v>44511.125</v>
      </c>
      <c r="C4268" s="200" t="s">
        <v>3969</v>
      </c>
      <c r="E4268" s="138">
        <v>9640800</v>
      </c>
      <c r="G4268" s="93">
        <f>+E4268</f>
        <v>9640800</v>
      </c>
      <c r="I4268" s="138">
        <v>386617.79</v>
      </c>
      <c r="J4268" s="138">
        <v>82513.289999999994</v>
      </c>
      <c r="K4268" s="18">
        <f>+G4268-H4268-I4268-J4268</f>
        <v>9171668.9200000018</v>
      </c>
      <c r="L4268" s="19">
        <f>+L4267-G4268</f>
        <v>19924320</v>
      </c>
      <c r="P4268" s="21">
        <v>7810351804</v>
      </c>
      <c r="Q4268" s="98">
        <v>44470</v>
      </c>
      <c r="R4268" s="14">
        <v>482200</v>
      </c>
      <c r="S4268" s="14">
        <v>655800</v>
      </c>
      <c r="U4268" s="3"/>
    </row>
    <row r="4269" spans="1:22" ht="15" hidden="1" x14ac:dyDescent="0.25">
      <c r="B4269" s="89">
        <v>44539.125</v>
      </c>
      <c r="C4269" s="200" t="s">
        <v>3970</v>
      </c>
      <c r="E4269" s="138">
        <v>9640800</v>
      </c>
      <c r="G4269" s="93">
        <f>+E4269</f>
        <v>9640800</v>
      </c>
      <c r="I4269" s="138">
        <v>405629.64</v>
      </c>
      <c r="J4269" s="138">
        <v>82513.289999999994</v>
      </c>
      <c r="K4269" s="18">
        <f>+G4269-H4269-I4269-J4269</f>
        <v>9152657.0700000003</v>
      </c>
      <c r="L4269" s="19">
        <f>+L4268-G4269</f>
        <v>10283520</v>
      </c>
      <c r="P4269" s="21">
        <v>7818605491</v>
      </c>
      <c r="Q4269" s="98">
        <v>44501</v>
      </c>
      <c r="R4269" s="14">
        <v>482200</v>
      </c>
      <c r="S4269" s="14">
        <v>655800</v>
      </c>
      <c r="U4269" s="3">
        <f>+U4267*12.5%</f>
        <v>1574664</v>
      </c>
      <c r="V4269" s="172" t="s">
        <v>11</v>
      </c>
    </row>
    <row r="4270" spans="1:22" ht="15" hidden="1" x14ac:dyDescent="0.25">
      <c r="B4270" s="89">
        <v>44554.125</v>
      </c>
      <c r="C4270" s="200" t="s">
        <v>3971</v>
      </c>
      <c r="E4270" s="138">
        <v>9640800</v>
      </c>
      <c r="G4270" s="93">
        <f>+E4270</f>
        <v>9640800</v>
      </c>
      <c r="I4270" s="138">
        <v>405629.64</v>
      </c>
      <c r="J4270" s="138">
        <v>82513.289999999994</v>
      </c>
      <c r="K4270" s="18">
        <f>+G4270-H4270-I4270-J4270</f>
        <v>9152657.0700000003</v>
      </c>
      <c r="L4270" s="19">
        <f>+L4269-G4270</f>
        <v>642720</v>
      </c>
      <c r="P4270" s="21">
        <v>7820374381</v>
      </c>
      <c r="Q4270" s="98">
        <v>44531</v>
      </c>
      <c r="R4270" s="14">
        <v>482200</v>
      </c>
      <c r="S4270" s="14">
        <v>655800</v>
      </c>
      <c r="U4270" s="3">
        <f>+U4267*16%</f>
        <v>2015569.9199999999</v>
      </c>
      <c r="V4270" s="173" t="s">
        <v>12</v>
      </c>
    </row>
    <row r="4271" spans="1:22" ht="15" hidden="1" x14ac:dyDescent="0.25">
      <c r="B4271" s="89"/>
      <c r="G4271" s="93"/>
      <c r="K4271" s="18"/>
      <c r="L4271" s="19"/>
      <c r="P4271" s="21">
        <v>7821536601</v>
      </c>
      <c r="Q4271" s="98">
        <v>44531</v>
      </c>
      <c r="R4271" s="14">
        <v>14500</v>
      </c>
      <c r="S4271" s="14">
        <v>655800</v>
      </c>
      <c r="U4271" s="3"/>
      <c r="V4271" s="173"/>
    </row>
    <row r="4272" spans="1:22" ht="15" hidden="1" x14ac:dyDescent="0.25">
      <c r="B4272" s="89"/>
      <c r="G4272" s="93"/>
      <c r="K4272" s="18"/>
      <c r="L4272" s="19"/>
      <c r="Q4272" s="98"/>
      <c r="R4272" s="213">
        <f>SUM(R4267:R4271)</f>
        <v>1574700</v>
      </c>
      <c r="S4272" s="111">
        <f>SUM(S4267:S4271)</f>
        <v>2768600</v>
      </c>
      <c r="U4272" s="179">
        <f>+U4269-R4272</f>
        <v>-36</v>
      </c>
    </row>
    <row r="4273" spans="1:22" s="31" customFormat="1" ht="15" hidden="1" x14ac:dyDescent="0.25">
      <c r="A4273" s="31">
        <v>5402021</v>
      </c>
      <c r="B4273" s="139" t="s">
        <v>3972</v>
      </c>
      <c r="C4273" s="140"/>
      <c r="D4273" s="141">
        <v>31279040</v>
      </c>
      <c r="E4273" s="141">
        <f>+D4273</f>
        <v>31279040</v>
      </c>
      <c r="F4273" s="141"/>
      <c r="G4273" s="141"/>
      <c r="H4273" s="141"/>
      <c r="I4273" s="141"/>
      <c r="J4273" s="141"/>
      <c r="K4273" s="141"/>
      <c r="L4273" s="141">
        <f>+D4273</f>
        <v>31279040</v>
      </c>
      <c r="M4273" s="142"/>
      <c r="N4273" s="142"/>
      <c r="P4273" s="126"/>
      <c r="Q4273" s="126"/>
      <c r="R4273" s="29"/>
      <c r="S4273" s="29"/>
      <c r="T4273" s="30"/>
    </row>
    <row r="4274" spans="1:22" s="31" customFormat="1" ht="15" hidden="1" x14ac:dyDescent="0.25">
      <c r="B4274" s="89">
        <v>44491.083333333336</v>
      </c>
      <c r="C4274" s="92" t="s">
        <v>3973</v>
      </c>
      <c r="D4274" s="23"/>
      <c r="E4274" s="23">
        <v>5570240</v>
      </c>
      <c r="F4274" s="93"/>
      <c r="G4274" s="93">
        <f>+E4274</f>
        <v>5570240</v>
      </c>
      <c r="H4274" s="94"/>
      <c r="I4274" s="94">
        <v>45958.99</v>
      </c>
      <c r="J4274" s="94">
        <v>47674.35</v>
      </c>
      <c r="K4274" s="18">
        <f>+G4274-H4274-I4274-J4274</f>
        <v>5476606.6600000001</v>
      </c>
      <c r="L4274" s="19">
        <f>+L4273-G4274</f>
        <v>25708800</v>
      </c>
      <c r="M4274" s="96"/>
      <c r="N4274" s="96"/>
      <c r="O4274" s="149">
        <f>+VLOOKUP(A4273,'[1]ANEXO 7 - PPTO VIG 2021'!$H$8:$AB$166,21,)-L4279</f>
        <v>0</v>
      </c>
      <c r="P4274" s="55">
        <v>9424325771</v>
      </c>
      <c r="Q4274" s="98">
        <v>44409</v>
      </c>
      <c r="R4274" s="14">
        <v>234600</v>
      </c>
      <c r="S4274" s="14">
        <v>300300</v>
      </c>
      <c r="T4274" s="30">
        <f>+L4273</f>
        <v>31279040</v>
      </c>
      <c r="U4274" s="30">
        <f>+T4274*40%</f>
        <v>12511616</v>
      </c>
      <c r="V4274" s="146"/>
    </row>
    <row r="4275" spans="1:22" s="31" customFormat="1" ht="15" hidden="1" x14ac:dyDescent="0.25">
      <c r="B4275" s="89"/>
      <c r="C4275" s="216"/>
      <c r="D4275" s="217"/>
      <c r="E4275" s="217"/>
      <c r="F4275" s="219"/>
      <c r="G4275" s="93"/>
      <c r="H4275" s="218"/>
      <c r="I4275" s="218"/>
      <c r="J4275" s="218"/>
      <c r="K4275" s="18"/>
      <c r="L4275" s="19"/>
      <c r="M4275" s="96"/>
      <c r="N4275" s="96"/>
      <c r="O4275" s="149"/>
      <c r="P4275" s="55">
        <v>9424477802</v>
      </c>
      <c r="Q4275" s="98">
        <v>44409</v>
      </c>
      <c r="R4275" s="14">
        <v>91300</v>
      </c>
      <c r="S4275" s="14">
        <v>116800</v>
      </c>
      <c r="T4275" s="30"/>
      <c r="U4275" s="30"/>
      <c r="V4275" s="146"/>
    </row>
    <row r="4276" spans="1:22" ht="15" hidden="1" x14ac:dyDescent="0.25">
      <c r="B4276" s="89">
        <v>44508.125</v>
      </c>
      <c r="C4276" s="200" t="s">
        <v>3974</v>
      </c>
      <c r="E4276" s="138">
        <v>6427200</v>
      </c>
      <c r="G4276" s="93">
        <f>+E4276</f>
        <v>6427200</v>
      </c>
      <c r="I4276" s="138">
        <v>154182.97</v>
      </c>
      <c r="J4276" s="138">
        <v>55008.86</v>
      </c>
      <c r="K4276" s="18">
        <f>+G4276-H4276-I4276-J4276</f>
        <v>6218008.1699999999</v>
      </c>
      <c r="L4276" s="19">
        <f>+L4274-G4276</f>
        <v>19281600</v>
      </c>
      <c r="P4276" s="21">
        <v>9425638806</v>
      </c>
      <c r="Q4276" s="98">
        <v>44440</v>
      </c>
      <c r="R4276" s="14">
        <v>321400</v>
      </c>
      <c r="S4276" s="14">
        <v>411400</v>
      </c>
      <c r="U4276" s="3"/>
    </row>
    <row r="4277" spans="1:22" ht="15" hidden="1" x14ac:dyDescent="0.25">
      <c r="B4277" s="89">
        <v>44533.125</v>
      </c>
      <c r="C4277" s="200" t="s">
        <v>3975</v>
      </c>
      <c r="E4277" s="138">
        <v>6427200</v>
      </c>
      <c r="G4277" s="93">
        <f>+E4277</f>
        <v>6427200</v>
      </c>
      <c r="I4277" s="138">
        <v>154182.97</v>
      </c>
      <c r="J4277" s="138">
        <v>55008.86</v>
      </c>
      <c r="K4277" s="18">
        <f>+G4277-H4277-I4277-J4277</f>
        <v>6218008.1699999999</v>
      </c>
      <c r="L4277" s="19">
        <f>+L4276-G4277</f>
        <v>12854400</v>
      </c>
      <c r="P4277" s="21">
        <v>9427047058</v>
      </c>
      <c r="Q4277" s="98">
        <v>44470</v>
      </c>
      <c r="R4277" s="14">
        <v>321400</v>
      </c>
      <c r="S4277" s="14">
        <v>411400</v>
      </c>
      <c r="U4277" s="3">
        <f>+U4274*12.5%</f>
        <v>1563952</v>
      </c>
      <c r="V4277" s="172" t="s">
        <v>11</v>
      </c>
    </row>
    <row r="4278" spans="1:22" ht="15" hidden="1" x14ac:dyDescent="0.25">
      <c r="B4278" s="89">
        <v>44543.125</v>
      </c>
      <c r="C4278" s="200" t="s">
        <v>3976</v>
      </c>
      <c r="E4278" s="138">
        <v>6427200</v>
      </c>
      <c r="G4278" s="93">
        <f>+E4278</f>
        <v>6427200</v>
      </c>
      <c r="I4278" s="138">
        <v>154182.97</v>
      </c>
      <c r="J4278" s="138">
        <v>55008.86</v>
      </c>
      <c r="K4278" s="18">
        <f>+G4278-H4278-I4278-J4278</f>
        <v>6218008.1699999999</v>
      </c>
      <c r="L4278" s="19">
        <f>+L4277-G4278</f>
        <v>6427200</v>
      </c>
      <c r="P4278" s="21">
        <v>9427855645</v>
      </c>
      <c r="Q4278" s="98">
        <v>44501</v>
      </c>
      <c r="R4278" s="14">
        <v>321400</v>
      </c>
      <c r="S4278" s="14">
        <v>411400</v>
      </c>
      <c r="U4278" s="3">
        <f>+U4274*16%</f>
        <v>2001858.5600000001</v>
      </c>
      <c r="V4278" s="173" t="s">
        <v>12</v>
      </c>
    </row>
    <row r="4279" spans="1:22" ht="15" hidden="1" x14ac:dyDescent="0.25">
      <c r="B4279" s="89">
        <v>44559.125</v>
      </c>
      <c r="C4279" s="200" t="s">
        <v>3977</v>
      </c>
      <c r="E4279" s="138">
        <v>6427200</v>
      </c>
      <c r="G4279" s="93">
        <f>+E4279</f>
        <v>6427200</v>
      </c>
      <c r="I4279" s="138">
        <v>154182.97</v>
      </c>
      <c r="J4279" s="138">
        <v>55008.86</v>
      </c>
      <c r="K4279" s="18">
        <f>+G4279-H4279-I4279-J4279</f>
        <v>6218008.1699999999</v>
      </c>
      <c r="L4279" s="19">
        <f>+L4278-G4279</f>
        <v>0</v>
      </c>
      <c r="P4279" s="21">
        <v>9428254848</v>
      </c>
      <c r="Q4279" s="98">
        <v>44531</v>
      </c>
      <c r="R4279" s="14">
        <v>321400</v>
      </c>
      <c r="S4279" s="14">
        <v>411400</v>
      </c>
    </row>
    <row r="4280" spans="1:22" ht="15" hidden="1" x14ac:dyDescent="0.25">
      <c r="B4280" s="89"/>
      <c r="G4280" s="93"/>
      <c r="K4280" s="18"/>
      <c r="L4280" s="19"/>
      <c r="Q4280" s="98"/>
      <c r="R4280" s="213">
        <f>SUM(R4274:R4279)</f>
        <v>1611500</v>
      </c>
      <c r="S4280" s="111">
        <f>SUM(S4274:S4279)</f>
        <v>2062700</v>
      </c>
    </row>
    <row r="4281" spans="1:22" s="31" customFormat="1" ht="15" hidden="1" x14ac:dyDescent="0.25">
      <c r="A4281" s="31">
        <v>5762021</v>
      </c>
      <c r="B4281" s="139" t="s">
        <v>3978</v>
      </c>
      <c r="C4281" s="140"/>
      <c r="D4281" s="141">
        <v>2116713306</v>
      </c>
      <c r="E4281" s="141">
        <f>+D4281</f>
        <v>2116713306</v>
      </c>
      <c r="F4281" s="141"/>
      <c r="G4281" s="141"/>
      <c r="H4281" s="141"/>
      <c r="I4281" s="141"/>
      <c r="J4281" s="141"/>
      <c r="K4281" s="141"/>
      <c r="L4281" s="141">
        <f>+D4281</f>
        <v>2116713306</v>
      </c>
      <c r="M4281" s="142"/>
      <c r="N4281" s="142"/>
      <c r="P4281" s="126"/>
      <c r="Q4281" s="126"/>
      <c r="R4281" s="29"/>
      <c r="S4281" s="29"/>
      <c r="T4281" s="30"/>
    </row>
    <row r="4282" spans="1:22" s="31" customFormat="1" ht="15" hidden="1" x14ac:dyDescent="0.25">
      <c r="B4282" s="89">
        <v>44491.083333333336</v>
      </c>
      <c r="C4282" s="92" t="s">
        <v>3973</v>
      </c>
      <c r="D4282" s="23"/>
      <c r="E4282" s="23">
        <v>1203469315</v>
      </c>
      <c r="F4282" s="93"/>
      <c r="G4282" s="93">
        <f>+E4282</f>
        <v>1203469315</v>
      </c>
      <c r="H4282" s="94"/>
      <c r="I4282" s="94"/>
      <c r="J4282" s="94"/>
      <c r="K4282" s="18">
        <f>+G4282-H4282-I4282-J4282</f>
        <v>1203469315</v>
      </c>
      <c r="L4282" s="19">
        <f>+L4281-G4282</f>
        <v>913243991</v>
      </c>
      <c r="M4282" s="96"/>
      <c r="N4282" s="96"/>
      <c r="O4282" s="149">
        <f>+VLOOKUP(A4281,'[1]ANEXO 7 - PPTO VIG 2021'!$H$8:$AB$166,21,)-L4282</f>
        <v>0</v>
      </c>
      <c r="P4282" s="55"/>
      <c r="Q4282" s="98"/>
      <c r="R4282" s="14"/>
      <c r="S4282" s="14"/>
      <c r="T4282" s="30"/>
      <c r="U4282" s="146"/>
      <c r="V4282" s="146"/>
    </row>
    <row r="4283" spans="1:22" ht="15" hidden="1" x14ac:dyDescent="0.25"/>
    <row r="4284" spans="1:22" s="31" customFormat="1" ht="15" hidden="1" x14ac:dyDescent="0.25">
      <c r="A4284" s="31">
        <v>57620211</v>
      </c>
      <c r="B4284" s="139" t="s">
        <v>3979</v>
      </c>
      <c r="C4284" s="140"/>
      <c r="D4284" s="141">
        <v>3214092516</v>
      </c>
      <c r="E4284" s="141">
        <f>+D4284</f>
        <v>3214092516</v>
      </c>
      <c r="F4284" s="141"/>
      <c r="G4284" s="141"/>
      <c r="H4284" s="141"/>
      <c r="I4284" s="141"/>
      <c r="J4284" s="141"/>
      <c r="K4284" s="141"/>
      <c r="L4284" s="141">
        <f>+D4284</f>
        <v>3214092516</v>
      </c>
      <c r="M4284" s="142"/>
      <c r="N4284" s="142"/>
      <c r="P4284" s="126"/>
      <c r="Q4284" s="126"/>
      <c r="R4284" s="29"/>
      <c r="S4284" s="29"/>
      <c r="T4284" s="30"/>
    </row>
    <row r="4285" spans="1:22" s="31" customFormat="1" ht="15" hidden="1" x14ac:dyDescent="0.25">
      <c r="B4285" s="89">
        <v>44559.125</v>
      </c>
      <c r="C4285" s="92" t="s">
        <v>3980</v>
      </c>
      <c r="D4285" s="23"/>
      <c r="E4285" s="23">
        <v>406938630</v>
      </c>
      <c r="F4285" s="93"/>
      <c r="G4285" s="93">
        <f>+E4285</f>
        <v>406938630</v>
      </c>
      <c r="H4285" s="94"/>
      <c r="I4285" s="94"/>
      <c r="J4285" s="94"/>
      <c r="K4285" s="18">
        <f>+G4285-H4285-I4285-J4285</f>
        <v>406938630</v>
      </c>
      <c r="L4285" s="19">
        <f>+L4284-G4285</f>
        <v>2807153886</v>
      </c>
      <c r="M4285" s="96"/>
      <c r="N4285" s="96"/>
      <c r="O4285" s="149">
        <f>+VLOOKUP(A4284,'[1]ANEXO 7 - PPTO VIG 2021'!$H$8:$AB$166,21,)-L4285</f>
        <v>0</v>
      </c>
      <c r="P4285" s="55"/>
      <c r="Q4285" s="98"/>
      <c r="R4285" s="14"/>
      <c r="S4285" s="14"/>
      <c r="T4285" s="30"/>
      <c r="U4285" s="146"/>
      <c r="V4285" s="146"/>
    </row>
    <row r="4286" spans="1:22" ht="15" hidden="1" x14ac:dyDescent="0.25"/>
    <row r="4287" spans="1:22" s="31" customFormat="1" ht="15" hidden="1" x14ac:dyDescent="0.25">
      <c r="A4287" s="31">
        <v>57620212</v>
      </c>
      <c r="B4287" s="139" t="s">
        <v>3981</v>
      </c>
      <c r="C4287" s="140"/>
      <c r="D4287" s="141">
        <v>3695214042</v>
      </c>
      <c r="E4287" s="141">
        <f>+D4287</f>
        <v>3695214042</v>
      </c>
      <c r="F4287" s="141"/>
      <c r="G4287" s="141"/>
      <c r="H4287" s="141"/>
      <c r="I4287" s="141"/>
      <c r="J4287" s="141"/>
      <c r="K4287" s="141"/>
      <c r="L4287" s="141">
        <f>+D4287</f>
        <v>3695214042</v>
      </c>
      <c r="M4287" s="142"/>
      <c r="N4287" s="142"/>
      <c r="P4287" s="126"/>
      <c r="Q4287" s="126"/>
      <c r="R4287" s="29"/>
      <c r="S4287" s="29"/>
      <c r="T4287" s="30"/>
    </row>
    <row r="4288" spans="1:22" s="31" customFormat="1" ht="15" hidden="1" x14ac:dyDescent="0.25">
      <c r="B4288" s="89">
        <v>44559.125</v>
      </c>
      <c r="C4288" s="92" t="s">
        <v>3982</v>
      </c>
      <c r="D4288" s="23"/>
      <c r="E4288" s="23">
        <v>2000000000</v>
      </c>
      <c r="F4288" s="93"/>
      <c r="G4288" s="93">
        <f>+E4288</f>
        <v>2000000000</v>
      </c>
      <c r="H4288" s="94"/>
      <c r="I4288" s="94"/>
      <c r="J4288" s="94"/>
      <c r="K4288" s="18">
        <f>+G4288-H4288-I4288-J4288</f>
        <v>2000000000</v>
      </c>
      <c r="L4288" s="19">
        <f>+L4287-G4288</f>
        <v>1695214042</v>
      </c>
      <c r="M4288" s="96"/>
      <c r="N4288" s="96"/>
      <c r="O4288" s="149">
        <f>+VLOOKUP(A4287,'[1]ANEXO 7 - PPTO VIG 2021'!$H$8:$AB$166,21,)-L4288</f>
        <v>0</v>
      </c>
      <c r="P4288" s="55"/>
      <c r="Q4288" s="98"/>
      <c r="R4288" s="14"/>
      <c r="S4288" s="14"/>
      <c r="T4288" s="30"/>
      <c r="U4288" s="146"/>
      <c r="V4288" s="146"/>
    </row>
    <row r="4289" spans="1:22" ht="15" hidden="1" x14ac:dyDescent="0.25">
      <c r="D4289" s="220"/>
    </row>
    <row r="4290" spans="1:22" s="31" customFormat="1" ht="15" hidden="1" x14ac:dyDescent="0.25">
      <c r="A4290" s="31">
        <v>6132021</v>
      </c>
      <c r="B4290" s="139" t="s">
        <v>3983</v>
      </c>
      <c r="C4290" s="140"/>
      <c r="D4290" s="141">
        <v>100000000</v>
      </c>
      <c r="E4290" s="141">
        <f>+D4290</f>
        <v>100000000</v>
      </c>
      <c r="F4290" s="141"/>
      <c r="G4290" s="141"/>
      <c r="H4290" s="141"/>
      <c r="I4290" s="141"/>
      <c r="J4290" s="141"/>
      <c r="K4290" s="141"/>
      <c r="L4290" s="141">
        <f>+D4290</f>
        <v>100000000</v>
      </c>
      <c r="M4290" s="142"/>
      <c r="N4290" s="142"/>
      <c r="P4290" s="126"/>
      <c r="Q4290" s="126"/>
      <c r="R4290" s="29"/>
      <c r="S4290" s="29"/>
      <c r="T4290" s="30"/>
    </row>
    <row r="4291" spans="1:22" s="31" customFormat="1" ht="15" hidden="1" x14ac:dyDescent="0.25">
      <c r="B4291" s="89"/>
      <c r="C4291" s="92"/>
      <c r="D4291" s="23"/>
      <c r="E4291" s="23"/>
      <c r="F4291" s="93"/>
      <c r="G4291" s="93">
        <f>+E4291</f>
        <v>0</v>
      </c>
      <c r="H4291" s="94"/>
      <c r="I4291" s="94"/>
      <c r="J4291" s="94"/>
      <c r="K4291" s="18">
        <f>+G4291-H4291-I4291-J4291</f>
        <v>0</v>
      </c>
      <c r="L4291" s="19">
        <f>+L4290-G4291</f>
        <v>100000000</v>
      </c>
      <c r="M4291" s="96"/>
      <c r="N4291" s="96"/>
      <c r="O4291" s="149">
        <f>+VLOOKUP(A4290,'[1]ANEXO 7 - PPTO VIG 2021'!$H$8:$AB$166,21,)-L4291</f>
        <v>0</v>
      </c>
      <c r="P4291" s="55"/>
      <c r="Q4291" s="98"/>
      <c r="R4291" s="14"/>
      <c r="S4291" s="14"/>
      <c r="T4291" s="30"/>
      <c r="U4291" s="146"/>
      <c r="V4291" s="146"/>
    </row>
    <row r="4292" spans="1:22" ht="15" hidden="1" x14ac:dyDescent="0.25">
      <c r="D4292" s="220"/>
    </row>
    <row r="4293" spans="1:22" s="31" customFormat="1" ht="15" hidden="1" x14ac:dyDescent="0.25">
      <c r="A4293" s="31">
        <v>61320211</v>
      </c>
      <c r="B4293" s="139" t="s">
        <v>3984</v>
      </c>
      <c r="C4293" s="140"/>
      <c r="D4293" s="141">
        <v>1900000000</v>
      </c>
      <c r="E4293" s="141">
        <f>+D4293</f>
        <v>1900000000</v>
      </c>
      <c r="F4293" s="141"/>
      <c r="G4293" s="141"/>
      <c r="H4293" s="141"/>
      <c r="I4293" s="141"/>
      <c r="J4293" s="141"/>
      <c r="K4293" s="141"/>
      <c r="L4293" s="141">
        <f>+D4293</f>
        <v>1900000000</v>
      </c>
      <c r="M4293" s="142"/>
      <c r="N4293" s="142"/>
      <c r="P4293" s="126"/>
      <c r="Q4293" s="126"/>
      <c r="R4293" s="29"/>
      <c r="S4293" s="29"/>
      <c r="T4293" s="30"/>
    </row>
    <row r="4294" spans="1:22" s="31" customFormat="1" ht="15" hidden="1" x14ac:dyDescent="0.25">
      <c r="B4294" s="89">
        <v>44552.125</v>
      </c>
      <c r="C4294" s="284" t="s">
        <v>3985</v>
      </c>
      <c r="D4294" s="285"/>
      <c r="E4294" s="285">
        <v>400000000</v>
      </c>
      <c r="F4294" s="201"/>
      <c r="G4294" s="201">
        <f>+E4294</f>
        <v>400000000</v>
      </c>
      <c r="H4294" s="202"/>
      <c r="I4294" s="202"/>
      <c r="J4294" s="202"/>
      <c r="K4294" s="72">
        <f>+G4294-H4294-I4294-J4294</f>
        <v>400000000</v>
      </c>
      <c r="L4294" s="19">
        <f>+L4293-G4294</f>
        <v>1500000000</v>
      </c>
      <c r="M4294" s="96"/>
      <c r="N4294" s="96"/>
      <c r="O4294" s="149">
        <f>+VLOOKUP(A4293,'[1]ANEXO 7 - PPTO VIG 2021'!$H$8:$AB$166,21,)-L4295</f>
        <v>0</v>
      </c>
      <c r="P4294" s="55"/>
      <c r="Q4294" s="98"/>
      <c r="R4294" s="14"/>
      <c r="S4294" s="14"/>
      <c r="T4294" s="30"/>
      <c r="U4294" s="146"/>
      <c r="V4294" s="146"/>
    </row>
    <row r="4295" spans="1:22" ht="15" x14ac:dyDescent="0.25">
      <c r="B4295" s="100">
        <v>44650.083333333336</v>
      </c>
      <c r="C4295" s="62" t="s">
        <v>3986</v>
      </c>
      <c r="D4295" s="299"/>
      <c r="E4295" s="23">
        <v>600000000</v>
      </c>
      <c r="F4295" s="61"/>
      <c r="G4295" s="93">
        <f>+E4295</f>
        <v>600000000</v>
      </c>
      <c r="H4295" s="61"/>
      <c r="I4295" s="61"/>
      <c r="J4295" s="61"/>
      <c r="K4295" s="18">
        <f>+G4295-H4295-I4295-J4295</f>
        <v>600000000</v>
      </c>
      <c r="L4295" s="19">
        <f>+L4294-G4295</f>
        <v>900000000</v>
      </c>
    </row>
    <row r="4296" spans="1:22" s="31" customFormat="1" ht="15" hidden="1" x14ac:dyDescent="0.25">
      <c r="A4296" s="31">
        <v>6162021</v>
      </c>
      <c r="B4296" s="139" t="s">
        <v>3987</v>
      </c>
      <c r="C4296" s="296"/>
      <c r="D4296" s="297">
        <v>650000000</v>
      </c>
      <c r="E4296" s="297">
        <f>+D4296</f>
        <v>650000000</v>
      </c>
      <c r="F4296" s="297"/>
      <c r="G4296" s="297"/>
      <c r="H4296" s="297"/>
      <c r="I4296" s="297"/>
      <c r="J4296" s="297"/>
      <c r="K4296" s="297"/>
      <c r="L4296" s="141">
        <f>+D4296</f>
        <v>650000000</v>
      </c>
      <c r="M4296" s="142"/>
      <c r="N4296" s="142"/>
      <c r="P4296" s="126"/>
      <c r="Q4296" s="126"/>
      <c r="R4296" s="29"/>
      <c r="S4296" s="29"/>
      <c r="T4296" s="30"/>
    </row>
    <row r="4297" spans="1:22" s="31" customFormat="1" ht="15" x14ac:dyDescent="0.25">
      <c r="B4297" s="100">
        <v>44648.083333333336</v>
      </c>
      <c r="C4297" s="92" t="s">
        <v>3988</v>
      </c>
      <c r="D4297" s="23"/>
      <c r="E4297" s="23">
        <v>195000000</v>
      </c>
      <c r="F4297" s="93"/>
      <c r="G4297" s="93">
        <f>+E4297</f>
        <v>195000000</v>
      </c>
      <c r="H4297" s="94"/>
      <c r="I4297" s="94"/>
      <c r="J4297" s="94"/>
      <c r="K4297" s="18">
        <f>+G4297-H4297-I4297-J4297</f>
        <v>195000000</v>
      </c>
      <c r="L4297" s="19">
        <f>+L4296-G4297</f>
        <v>455000000</v>
      </c>
      <c r="M4297" s="96"/>
      <c r="N4297" s="96"/>
      <c r="O4297" s="149">
        <f>+VLOOKUP(A4296,'[1]ANEXO 7 - PPTO VIG 2021'!$H$8:$AB$166,21,)-L4297</f>
        <v>0</v>
      </c>
      <c r="P4297" s="55"/>
      <c r="Q4297" s="98"/>
      <c r="R4297" s="14"/>
      <c r="S4297" s="14"/>
      <c r="T4297" s="30"/>
      <c r="U4297" s="146"/>
      <c r="V4297" s="146"/>
    </row>
    <row r="4298" spans="1:22" ht="15" hidden="1" x14ac:dyDescent="0.25">
      <c r="D4298" s="220"/>
    </row>
    <row r="4299" spans="1:22" s="31" customFormat="1" ht="15" hidden="1" x14ac:dyDescent="0.25">
      <c r="A4299" s="31">
        <v>6172021</v>
      </c>
      <c r="B4299" s="139" t="s">
        <v>3989</v>
      </c>
      <c r="C4299" s="140"/>
      <c r="D4299" s="141">
        <v>627333691</v>
      </c>
      <c r="E4299" s="141">
        <f>+D4299</f>
        <v>627333691</v>
      </c>
      <c r="F4299" s="141"/>
      <c r="G4299" s="141"/>
      <c r="H4299" s="141"/>
      <c r="I4299" s="141"/>
      <c r="J4299" s="141"/>
      <c r="K4299" s="141"/>
      <c r="L4299" s="141">
        <f>+D4299</f>
        <v>627333691</v>
      </c>
      <c r="M4299" s="142"/>
      <c r="N4299" s="142"/>
      <c r="P4299" s="126"/>
      <c r="Q4299" s="126"/>
      <c r="R4299" s="29"/>
      <c r="S4299" s="29"/>
      <c r="T4299" s="30"/>
    </row>
    <row r="4300" spans="1:22" s="31" customFormat="1" ht="15" hidden="1" x14ac:dyDescent="0.25">
      <c r="B4300" s="89">
        <v>44530.125</v>
      </c>
      <c r="C4300" s="92" t="s">
        <v>3990</v>
      </c>
      <c r="D4300" s="23"/>
      <c r="E4300" s="23">
        <v>188200107</v>
      </c>
      <c r="F4300" s="93"/>
      <c r="G4300" s="93">
        <f>+E4300</f>
        <v>188200107</v>
      </c>
      <c r="H4300" s="94"/>
      <c r="I4300" s="94"/>
      <c r="J4300" s="94"/>
      <c r="K4300" s="18">
        <f>+G4300-H4300-I4300-J4300</f>
        <v>188200107</v>
      </c>
      <c r="L4300" s="19">
        <f>+L4299-G4300</f>
        <v>439133584</v>
      </c>
      <c r="M4300" s="96"/>
      <c r="N4300" s="96"/>
      <c r="O4300" s="149">
        <f>+VLOOKUP(A4299,'[1]ANEXO 7 - PPTO VIG 2021'!$H$8:$AB$166,21,)-L4302</f>
        <v>0</v>
      </c>
      <c r="P4300" s="55"/>
      <c r="Q4300" s="98"/>
      <c r="R4300" s="14"/>
      <c r="S4300" s="14"/>
      <c r="T4300" s="30"/>
      <c r="U4300" s="146"/>
      <c r="V4300" s="146"/>
    </row>
    <row r="4301" spans="1:22" ht="15" hidden="1" x14ac:dyDescent="0.25">
      <c r="B4301" s="89">
        <v>44559.125</v>
      </c>
      <c r="C4301" s="200" t="s">
        <v>3991</v>
      </c>
      <c r="D4301" s="220"/>
      <c r="E4301" s="138">
        <v>250933476</v>
      </c>
      <c r="G4301" s="93">
        <f>+E4301</f>
        <v>250933476</v>
      </c>
      <c r="K4301" s="18">
        <f>+G4301-H4301-I4301-J4301</f>
        <v>250933476</v>
      </c>
      <c r="L4301" s="19">
        <f>+L4300-G4301</f>
        <v>188200108</v>
      </c>
    </row>
    <row r="4302" spans="1:22" ht="15" hidden="1" x14ac:dyDescent="0.25">
      <c r="B4302" s="89">
        <v>44614.125</v>
      </c>
      <c r="C4302" s="200" t="s">
        <v>3992</v>
      </c>
      <c r="D4302" s="220"/>
      <c r="E4302" s="138">
        <v>125466738</v>
      </c>
      <c r="G4302" s="93">
        <f>+E4302</f>
        <v>125466738</v>
      </c>
      <c r="K4302" s="18">
        <f>+G4302-H4302-I4302-J4302</f>
        <v>125466738</v>
      </c>
      <c r="L4302" s="19">
        <f>+L4301-G4302</f>
        <v>62733370</v>
      </c>
    </row>
    <row r="4303" spans="1:22" s="31" customFormat="1" ht="15" hidden="1" x14ac:dyDescent="0.25">
      <c r="A4303" s="31">
        <v>6632021</v>
      </c>
      <c r="B4303" s="139" t="s">
        <v>3993</v>
      </c>
      <c r="C4303" s="140"/>
      <c r="D4303" s="141">
        <v>2000000000</v>
      </c>
      <c r="E4303" s="141">
        <f>+D4303</f>
        <v>2000000000</v>
      </c>
      <c r="F4303" s="141"/>
      <c r="G4303" s="141"/>
      <c r="H4303" s="141"/>
      <c r="I4303" s="141"/>
      <c r="J4303" s="141"/>
      <c r="K4303" s="141"/>
      <c r="L4303" s="141">
        <f>+D4303</f>
        <v>2000000000</v>
      </c>
      <c r="M4303" s="142"/>
      <c r="N4303" s="142"/>
      <c r="P4303" s="126"/>
      <c r="Q4303" s="126"/>
      <c r="R4303" s="29"/>
      <c r="S4303" s="29"/>
      <c r="T4303" s="30"/>
    </row>
    <row r="4304" spans="1:22" s="31" customFormat="1" ht="15" hidden="1" x14ac:dyDescent="0.25">
      <c r="B4304" s="89"/>
      <c r="C4304" s="92"/>
      <c r="D4304" s="23"/>
      <c r="E4304" s="23"/>
      <c r="F4304" s="93"/>
      <c r="G4304" s="93">
        <f>+E4304</f>
        <v>0</v>
      </c>
      <c r="H4304" s="94"/>
      <c r="I4304" s="94"/>
      <c r="J4304" s="94"/>
      <c r="K4304" s="18">
        <f>+G4304-H4304-I4304-J4304</f>
        <v>0</v>
      </c>
      <c r="L4304" s="19">
        <f>+L4303-G4304</f>
        <v>2000000000</v>
      </c>
      <c r="M4304" s="96"/>
      <c r="N4304" s="96"/>
      <c r="O4304" s="149">
        <f>+VLOOKUP(A4303,'[1]ANEXO 7 - PPTO VIG 2021'!$H$8:$AB$166,21,)-L4304</f>
        <v>0</v>
      </c>
      <c r="P4304" s="55"/>
      <c r="Q4304" s="98"/>
      <c r="R4304" s="14"/>
      <c r="S4304" s="14"/>
      <c r="T4304" s="30"/>
      <c r="U4304" s="146"/>
      <c r="V4304" s="146"/>
    </row>
    <row r="4305" spans="1:22" ht="15" hidden="1" x14ac:dyDescent="0.25">
      <c r="D4305" s="220"/>
    </row>
    <row r="4306" spans="1:22" s="31" customFormat="1" ht="15" hidden="1" x14ac:dyDescent="0.25">
      <c r="A4306" s="31">
        <v>6142021</v>
      </c>
      <c r="B4306" s="139" t="s">
        <v>3994</v>
      </c>
      <c r="C4306" s="140"/>
      <c r="D4306" s="141">
        <v>26283333</v>
      </c>
      <c r="E4306" s="141">
        <f>+D4306</f>
        <v>26283333</v>
      </c>
      <c r="F4306" s="141"/>
      <c r="G4306" s="141"/>
      <c r="H4306" s="141"/>
      <c r="I4306" s="141"/>
      <c r="J4306" s="141"/>
      <c r="K4306" s="141"/>
      <c r="L4306" s="141">
        <f>+D4306</f>
        <v>26283333</v>
      </c>
      <c r="M4306" s="142"/>
      <c r="N4306" s="142"/>
      <c r="P4306" s="126"/>
      <c r="Q4306" s="126"/>
      <c r="R4306" s="29"/>
      <c r="S4306" s="29"/>
      <c r="T4306" s="30"/>
    </row>
    <row r="4307" spans="1:22" s="31" customFormat="1" ht="15" hidden="1" x14ac:dyDescent="0.25">
      <c r="B4307" s="89">
        <v>44508.125</v>
      </c>
      <c r="C4307" s="92" t="s">
        <v>3995</v>
      </c>
      <c r="D4307" s="23"/>
      <c r="E4307" s="23">
        <v>6650000</v>
      </c>
      <c r="F4307" s="93"/>
      <c r="G4307" s="93">
        <f>+E4307</f>
        <v>6650000</v>
      </c>
      <c r="H4307" s="94"/>
      <c r="I4307" s="94">
        <v>187471.09</v>
      </c>
      <c r="J4307" s="94">
        <v>57263.51</v>
      </c>
      <c r="K4307" s="18">
        <f>+G4307-H4307-I4307-J4307</f>
        <v>6405265.4000000004</v>
      </c>
      <c r="L4307" s="19">
        <f>+L4306-G4307</f>
        <v>19633333</v>
      </c>
      <c r="M4307" s="96"/>
      <c r="N4307" s="96"/>
      <c r="O4307" s="149">
        <f>+VLOOKUP(A4306,'[1]ANEXO 7 - PPTO VIG 2021'!$H$8:$AB$166,21,)-L4309</f>
        <v>-633333</v>
      </c>
      <c r="P4307" s="55">
        <v>9426674449</v>
      </c>
      <c r="Q4307" s="98">
        <v>44470</v>
      </c>
      <c r="R4307" s="14">
        <v>332500</v>
      </c>
      <c r="S4307" s="14">
        <v>425600</v>
      </c>
      <c r="T4307" s="30">
        <f>+L4306-633333</f>
        <v>25650000</v>
      </c>
      <c r="U4307" s="30">
        <f>+T4307*40%</f>
        <v>10260000</v>
      </c>
      <c r="V4307" s="163">
        <v>0.4</v>
      </c>
    </row>
    <row r="4308" spans="1:22" ht="15" hidden="1" x14ac:dyDescent="0.25">
      <c r="B4308" s="89">
        <v>44540.125</v>
      </c>
      <c r="C4308" s="200" t="s">
        <v>3996</v>
      </c>
      <c r="E4308" s="138">
        <v>9500000</v>
      </c>
      <c r="G4308" s="93">
        <f>+E4308</f>
        <v>9500000</v>
      </c>
      <c r="I4308" s="138">
        <v>601535</v>
      </c>
      <c r="J4308" s="138">
        <v>81308.22</v>
      </c>
      <c r="K4308" s="18">
        <f>+G4308-H4308-I4308-J4308</f>
        <v>8817156.7799999993</v>
      </c>
      <c r="L4308" s="19">
        <f>+L4307-G4308</f>
        <v>10133333</v>
      </c>
      <c r="P4308" s="21">
        <v>9427463330</v>
      </c>
      <c r="Q4308" s="98">
        <v>44501</v>
      </c>
      <c r="R4308" s="3">
        <v>475000</v>
      </c>
      <c r="S4308" s="3">
        <v>646000</v>
      </c>
      <c r="U4308" s="3"/>
    </row>
    <row r="4309" spans="1:22" ht="15" hidden="1" x14ac:dyDescent="0.25">
      <c r="B4309" s="89">
        <v>44551.125</v>
      </c>
      <c r="C4309" s="200" t="s">
        <v>3997</v>
      </c>
      <c r="E4309" s="138">
        <v>9500000</v>
      </c>
      <c r="G4309" s="93">
        <f>+E4309</f>
        <v>9500000</v>
      </c>
      <c r="I4309" s="138">
        <v>601535</v>
      </c>
      <c r="J4309" s="138">
        <v>81308.22</v>
      </c>
      <c r="K4309" s="18">
        <f>+G4309-H4309-I4309-J4309</f>
        <v>8817156.7799999993</v>
      </c>
      <c r="L4309" s="19">
        <f>+L4308-G4309</f>
        <v>633333</v>
      </c>
      <c r="P4309" s="21">
        <v>9428277633</v>
      </c>
      <c r="Q4309" s="98">
        <v>44531</v>
      </c>
      <c r="R4309" s="3">
        <v>475000</v>
      </c>
      <c r="S4309" s="3">
        <v>646000</v>
      </c>
      <c r="U4309" s="3">
        <f>+U4307*12.5%</f>
        <v>1282500</v>
      </c>
      <c r="V4309" s="173" t="s">
        <v>2769</v>
      </c>
    </row>
    <row r="4310" spans="1:22" ht="15" hidden="1" x14ac:dyDescent="0.25">
      <c r="Q4310" s="98"/>
      <c r="R4310" s="99">
        <f>SUM(R4307:R4309)</f>
        <v>1282500</v>
      </c>
      <c r="S4310" s="185">
        <f>SUM(S4307:S4309)</f>
        <v>1717600</v>
      </c>
      <c r="U4310" s="3">
        <f>+U4307*16%</f>
        <v>1641600</v>
      </c>
      <c r="V4310" s="172" t="s">
        <v>2771</v>
      </c>
    </row>
    <row r="4311" spans="1:22" s="31" customFormat="1" ht="15" hidden="1" x14ac:dyDescent="0.25">
      <c r="A4311" s="31">
        <v>5782021</v>
      </c>
      <c r="B4311" s="139" t="s">
        <v>3998</v>
      </c>
      <c r="C4311" s="140"/>
      <c r="D4311" s="141">
        <v>381597609</v>
      </c>
      <c r="E4311" s="141">
        <f>+D4311</f>
        <v>381597609</v>
      </c>
      <c r="F4311" s="141"/>
      <c r="G4311" s="141"/>
      <c r="H4311" s="141"/>
      <c r="I4311" s="141"/>
      <c r="J4311" s="141"/>
      <c r="K4311" s="141"/>
      <c r="L4311" s="141">
        <f>+D4311</f>
        <v>381597609</v>
      </c>
      <c r="M4311" s="142"/>
      <c r="N4311" s="142"/>
      <c r="P4311" s="126"/>
      <c r="Q4311" s="126"/>
      <c r="R4311" s="29"/>
      <c r="S4311" s="29"/>
      <c r="T4311" s="30"/>
    </row>
    <row r="4312" spans="1:22" s="31" customFormat="1" ht="15" hidden="1" x14ac:dyDescent="0.25">
      <c r="B4312" s="89"/>
      <c r="C4312" s="92"/>
      <c r="D4312" s="23"/>
      <c r="E4312" s="23"/>
      <c r="F4312" s="93"/>
      <c r="G4312" s="93">
        <f>+E4312</f>
        <v>0</v>
      </c>
      <c r="H4312" s="94"/>
      <c r="I4312" s="94"/>
      <c r="J4312" s="94"/>
      <c r="K4312" s="18">
        <f>+G4312-H4312-I4312-J4312</f>
        <v>0</v>
      </c>
      <c r="L4312" s="19">
        <f>+L4311-G4312</f>
        <v>381597609</v>
      </c>
      <c r="M4312" s="96"/>
      <c r="N4312" s="96"/>
      <c r="O4312" s="149">
        <f>+VLOOKUP(A4311,'[1]ANEXO 7 - PPTO VIG 2021'!$H$8:$AB$166,21,)-L4312</f>
        <v>0</v>
      </c>
      <c r="P4312" s="55"/>
      <c r="Q4312" s="98"/>
      <c r="R4312" s="14"/>
      <c r="S4312" s="14"/>
      <c r="T4312" s="30"/>
      <c r="U4312" s="146"/>
      <c r="V4312" s="146"/>
    </row>
    <row r="4313" spans="1:22" ht="15" hidden="1" x14ac:dyDescent="0.25"/>
    <row r="4314" spans="1:22" s="31" customFormat="1" ht="15" hidden="1" x14ac:dyDescent="0.25">
      <c r="A4314" s="31">
        <v>57820211</v>
      </c>
      <c r="B4314" s="139" t="s">
        <v>3999</v>
      </c>
      <c r="C4314" s="140"/>
      <c r="D4314" s="141">
        <v>4618402391</v>
      </c>
      <c r="E4314" s="141">
        <f>+D4314</f>
        <v>4618402391</v>
      </c>
      <c r="F4314" s="141"/>
      <c r="G4314" s="141"/>
      <c r="H4314" s="141"/>
      <c r="I4314" s="141"/>
      <c r="J4314" s="141"/>
      <c r="K4314" s="141"/>
      <c r="L4314" s="141">
        <f>+D4314</f>
        <v>4618402391</v>
      </c>
      <c r="M4314" s="142"/>
      <c r="N4314" s="142"/>
      <c r="P4314" s="126"/>
      <c r="Q4314" s="126"/>
      <c r="R4314" s="29"/>
      <c r="S4314" s="29"/>
      <c r="T4314" s="30"/>
    </row>
    <row r="4315" spans="1:22" s="31" customFormat="1" ht="15" hidden="1" x14ac:dyDescent="0.25">
      <c r="B4315" s="89">
        <v>44516.125</v>
      </c>
      <c r="C4315" s="92" t="s">
        <v>4000</v>
      </c>
      <c r="D4315" s="23"/>
      <c r="E4315" s="23">
        <v>1000000000</v>
      </c>
      <c r="F4315" s="93"/>
      <c r="G4315" s="93">
        <f>+E4315</f>
        <v>1000000000</v>
      </c>
      <c r="H4315" s="94"/>
      <c r="I4315" s="94"/>
      <c r="J4315" s="94"/>
      <c r="K4315" s="18">
        <f>+G4315-H4315-I4315-J4315</f>
        <v>1000000000</v>
      </c>
      <c r="L4315" s="19">
        <f>+L4314-G4315</f>
        <v>3618402391</v>
      </c>
      <c r="M4315" s="96"/>
      <c r="N4315" s="96"/>
      <c r="O4315" s="149">
        <f>+VLOOKUP(A4314,'[1]ANEXO 7 - PPTO VIG 2021'!$H$8:$AB$166,21,)-L4316</f>
        <v>0</v>
      </c>
      <c r="P4315" s="55"/>
      <c r="Q4315" s="98"/>
      <c r="R4315" s="14"/>
      <c r="S4315" s="14"/>
      <c r="T4315" s="30"/>
      <c r="U4315" s="146"/>
      <c r="V4315" s="146"/>
    </row>
    <row r="4316" spans="1:22" ht="15" hidden="1" x14ac:dyDescent="0.25">
      <c r="B4316" s="89">
        <v>44553.125</v>
      </c>
      <c r="C4316" s="200" t="s">
        <v>4001</v>
      </c>
      <c r="E4316" s="138">
        <v>2000000000</v>
      </c>
      <c r="G4316" s="93">
        <f>+E4316</f>
        <v>2000000000</v>
      </c>
      <c r="K4316" s="18">
        <f>+G4316-H4316-I4316-J4316</f>
        <v>2000000000</v>
      </c>
      <c r="L4316" s="19">
        <f>+L4315-G4316</f>
        <v>1618402391</v>
      </c>
    </row>
    <row r="4317" spans="1:22" s="31" customFormat="1" ht="15" hidden="1" x14ac:dyDescent="0.25">
      <c r="A4317" s="31">
        <v>6062021</v>
      </c>
      <c r="B4317" s="139" t="s">
        <v>4002</v>
      </c>
      <c r="C4317" s="140"/>
      <c r="D4317" s="141">
        <v>215600000</v>
      </c>
      <c r="E4317" s="141">
        <f>+D4317</f>
        <v>215600000</v>
      </c>
      <c r="F4317" s="141"/>
      <c r="G4317" s="141"/>
      <c r="H4317" s="141"/>
      <c r="I4317" s="141"/>
      <c r="J4317" s="141"/>
      <c r="K4317" s="141"/>
      <c r="L4317" s="141">
        <f>+D4317</f>
        <v>215600000</v>
      </c>
      <c r="M4317" s="142"/>
      <c r="N4317" s="142"/>
      <c r="P4317" s="126"/>
      <c r="Q4317" s="126"/>
      <c r="R4317" s="29"/>
      <c r="S4317" s="29"/>
      <c r="T4317" s="30"/>
    </row>
    <row r="4318" spans="1:22" s="31" customFormat="1" ht="15" hidden="1" x14ac:dyDescent="0.25">
      <c r="B4318" s="89">
        <v>44559.125</v>
      </c>
      <c r="C4318" s="284" t="s">
        <v>4003</v>
      </c>
      <c r="D4318" s="285"/>
      <c r="E4318" s="285">
        <v>66000000</v>
      </c>
      <c r="F4318" s="201"/>
      <c r="G4318" s="201">
        <f>+E4318</f>
        <v>66000000</v>
      </c>
      <c r="H4318" s="202">
        <v>1580672.25</v>
      </c>
      <c r="I4318" s="202">
        <v>6100840.3499999996</v>
      </c>
      <c r="J4318" s="202">
        <v>382689.08</v>
      </c>
      <c r="K4318" s="72">
        <f>+G4318-H4318-I4318-J4318</f>
        <v>57935798.32</v>
      </c>
      <c r="L4318" s="19">
        <f>+L4317-G4318</f>
        <v>149600000</v>
      </c>
      <c r="M4318" s="96"/>
      <c r="N4318" s="96"/>
      <c r="O4318" s="149">
        <f>+VLOOKUP(A4317,'[1]ANEXO 7 - PPTO VIG 2021'!$H$8:$AB$166,21,)-L4319</f>
        <v>0</v>
      </c>
      <c r="P4318" s="55"/>
      <c r="Q4318" s="98"/>
      <c r="R4318" s="14"/>
      <c r="S4318" s="14"/>
      <c r="T4318" s="30"/>
      <c r="U4318" s="146"/>
      <c r="V4318" s="146"/>
    </row>
    <row r="4319" spans="1:22" ht="15" x14ac:dyDescent="0.25">
      <c r="B4319" s="100">
        <v>44651.083333333336</v>
      </c>
      <c r="C4319" s="62" t="s">
        <v>4004</v>
      </c>
      <c r="D4319" s="62"/>
      <c r="E4319" s="61">
        <v>66000000</v>
      </c>
      <c r="F4319" s="61"/>
      <c r="G4319" s="93">
        <f>+E4319</f>
        <v>66000000</v>
      </c>
      <c r="H4319" s="61">
        <v>1580672.25</v>
      </c>
      <c r="I4319" s="61">
        <v>6100840.3499999996</v>
      </c>
      <c r="J4319" s="61">
        <v>382689.08</v>
      </c>
      <c r="K4319" s="18">
        <f>+G4319-H4319-I4319-J4319</f>
        <v>57935798.32</v>
      </c>
      <c r="L4319" s="19">
        <f>+L4318-G4319</f>
        <v>83600000</v>
      </c>
    </row>
    <row r="4320" spans="1:22" s="31" customFormat="1" ht="15" hidden="1" x14ac:dyDescent="0.25">
      <c r="A4320" s="31">
        <v>5302021</v>
      </c>
      <c r="B4320" s="139" t="s">
        <v>4005</v>
      </c>
      <c r="C4320" s="294"/>
      <c r="D4320" s="210">
        <v>1095150000</v>
      </c>
      <c r="E4320" s="210">
        <f>+D4320</f>
        <v>1095150000</v>
      </c>
      <c r="F4320" s="210"/>
      <c r="G4320" s="210"/>
      <c r="H4320" s="210"/>
      <c r="I4320" s="210"/>
      <c r="J4320" s="210"/>
      <c r="K4320" s="210"/>
      <c r="L4320" s="141">
        <f>+D4320</f>
        <v>1095150000</v>
      </c>
      <c r="M4320" s="142"/>
      <c r="N4320" s="142"/>
      <c r="P4320" s="126"/>
      <c r="Q4320" s="126"/>
      <c r="R4320" s="29"/>
      <c r="S4320" s="29"/>
      <c r="T4320" s="30"/>
    </row>
    <row r="4321" spans="1:22" s="31" customFormat="1" ht="15" hidden="1" x14ac:dyDescent="0.25">
      <c r="B4321" s="89">
        <v>44559.125</v>
      </c>
      <c r="C4321" s="92" t="s">
        <v>4006</v>
      </c>
      <c r="D4321" s="23"/>
      <c r="E4321" s="23">
        <v>219030000</v>
      </c>
      <c r="F4321" s="93"/>
      <c r="G4321" s="93">
        <f>+E4321</f>
        <v>219030000</v>
      </c>
      <c r="H4321" s="94"/>
      <c r="I4321" s="94"/>
      <c r="J4321" s="94"/>
      <c r="K4321" s="18">
        <f>+G4321-H4321-I4321-J4321</f>
        <v>219030000</v>
      </c>
      <c r="L4321" s="19">
        <f>+L4320-G4321</f>
        <v>876120000</v>
      </c>
      <c r="M4321" s="96"/>
      <c r="N4321" s="96"/>
      <c r="O4321" s="149">
        <f>+VLOOKUP(A4320,'[1]ANEXO 7 - PPTO VIG 2021'!$H$8:$AB$166,21,)-L4322</f>
        <v>0</v>
      </c>
      <c r="P4321" s="55"/>
      <c r="Q4321" s="98"/>
      <c r="R4321" s="14"/>
      <c r="S4321" s="14"/>
      <c r="T4321" s="30"/>
      <c r="U4321" s="146"/>
      <c r="V4321" s="146"/>
    </row>
    <row r="4322" spans="1:22" ht="15" hidden="1" x14ac:dyDescent="0.25">
      <c r="B4322" s="89">
        <v>44603.125</v>
      </c>
      <c r="C4322" s="200" t="s">
        <v>4007</v>
      </c>
      <c r="E4322" s="138">
        <v>219030000</v>
      </c>
      <c r="G4322" s="138">
        <f>+E4322</f>
        <v>219030000</v>
      </c>
      <c r="K4322" s="18">
        <f>+G4322-H4322-I4322-J4322</f>
        <v>219030000</v>
      </c>
      <c r="L4322" s="19">
        <f>+L4321-G4322</f>
        <v>657090000</v>
      </c>
    </row>
    <row r="4323" spans="1:22" s="31" customFormat="1" ht="15" hidden="1" x14ac:dyDescent="0.25">
      <c r="A4323" s="31">
        <v>5802021</v>
      </c>
      <c r="B4323" s="139" t="s">
        <v>4008</v>
      </c>
      <c r="C4323" s="140"/>
      <c r="D4323" s="141">
        <v>5000000000</v>
      </c>
      <c r="E4323" s="141">
        <f>+D4323</f>
        <v>5000000000</v>
      </c>
      <c r="F4323" s="141"/>
      <c r="G4323" s="141"/>
      <c r="H4323" s="141"/>
      <c r="I4323" s="141"/>
      <c r="J4323" s="141"/>
      <c r="K4323" s="141"/>
      <c r="L4323" s="141">
        <f>+D4323</f>
        <v>5000000000</v>
      </c>
      <c r="M4323" s="142"/>
      <c r="N4323" s="142"/>
      <c r="P4323" s="126"/>
      <c r="Q4323" s="126"/>
      <c r="R4323" s="29"/>
      <c r="S4323" s="29"/>
      <c r="T4323" s="30"/>
    </row>
    <row r="4324" spans="1:22" s="31" customFormat="1" ht="15" hidden="1" x14ac:dyDescent="0.25">
      <c r="B4324" s="89">
        <v>44531.125</v>
      </c>
      <c r="C4324" s="92" t="s">
        <v>4009</v>
      </c>
      <c r="D4324" s="23"/>
      <c r="E4324" s="23">
        <v>1000000000</v>
      </c>
      <c r="F4324" s="93"/>
      <c r="G4324" s="93">
        <f>+E4324</f>
        <v>1000000000</v>
      </c>
      <c r="H4324" s="94"/>
      <c r="I4324" s="94"/>
      <c r="J4324" s="94"/>
      <c r="K4324" s="18">
        <f>+G4324-H4324-I4324-J4324</f>
        <v>1000000000</v>
      </c>
      <c r="L4324" s="19">
        <f>+L4323-G4324</f>
        <v>4000000000</v>
      </c>
      <c r="M4324" s="96"/>
      <c r="N4324" s="96"/>
      <c r="O4324" s="149">
        <f>+VLOOKUP(A4323,'[1]ANEXO 7 - PPTO VIG 2021'!$H$8:$AB$166,21,)-L4325</f>
        <v>0</v>
      </c>
      <c r="P4324" s="55"/>
      <c r="Q4324" s="98"/>
      <c r="R4324" s="14"/>
      <c r="S4324" s="14"/>
      <c r="T4324" s="30"/>
      <c r="U4324" s="146"/>
      <c r="V4324" s="146"/>
    </row>
    <row r="4325" spans="1:22" s="31" customFormat="1" ht="15" hidden="1" x14ac:dyDescent="0.25">
      <c r="B4325" s="215">
        <v>44553.125</v>
      </c>
      <c r="C4325" s="216" t="s">
        <v>4010</v>
      </c>
      <c r="D4325" s="217"/>
      <c r="E4325" s="217">
        <v>2000000000</v>
      </c>
      <c r="F4325" s="219"/>
      <c r="G4325" s="93">
        <f>+E4325</f>
        <v>2000000000</v>
      </c>
      <c r="H4325" s="218"/>
      <c r="I4325" s="218"/>
      <c r="J4325" s="218"/>
      <c r="K4325" s="18">
        <f>+G4325-H4325-I4325-J4325</f>
        <v>2000000000</v>
      </c>
      <c r="L4325" s="19">
        <f>+L4324-G4325</f>
        <v>2000000000</v>
      </c>
      <c r="M4325" s="96"/>
      <c r="N4325" s="96"/>
      <c r="O4325" s="81"/>
      <c r="P4325" s="84"/>
      <c r="Q4325" s="98"/>
      <c r="R4325" s="125"/>
      <c r="S4325" s="125"/>
      <c r="T4325" s="30"/>
      <c r="U4325" s="146"/>
      <c r="V4325" s="146"/>
    </row>
    <row r="4326" spans="1:22" s="31" customFormat="1" ht="15" hidden="1" x14ac:dyDescent="0.25">
      <c r="A4326" s="31">
        <v>737352021</v>
      </c>
      <c r="B4326" s="139" t="s">
        <v>4011</v>
      </c>
      <c r="C4326" s="140"/>
      <c r="D4326" s="141">
        <v>236177000</v>
      </c>
      <c r="E4326" s="141">
        <f>+D4326</f>
        <v>236177000</v>
      </c>
      <c r="F4326" s="141"/>
      <c r="G4326" s="141"/>
      <c r="H4326" s="141"/>
      <c r="I4326" s="141"/>
      <c r="J4326" s="141"/>
      <c r="K4326" s="141"/>
      <c r="L4326" s="141">
        <f>+D4326</f>
        <v>236177000</v>
      </c>
      <c r="M4326" s="142"/>
      <c r="N4326" s="142"/>
      <c r="P4326" s="126"/>
      <c r="Q4326" s="126"/>
      <c r="R4326" s="29"/>
      <c r="S4326" s="29"/>
      <c r="T4326" s="30"/>
    </row>
    <row r="4327" spans="1:22" s="31" customFormat="1" ht="15" hidden="1" x14ac:dyDescent="0.25">
      <c r="B4327" s="89">
        <v>44537.125</v>
      </c>
      <c r="C4327" s="92" t="s">
        <v>4012</v>
      </c>
      <c r="D4327" s="23"/>
      <c r="E4327" s="23">
        <v>230227000</v>
      </c>
      <c r="F4327" s="93"/>
      <c r="G4327" s="93">
        <f>+E4327</f>
        <v>230227000</v>
      </c>
      <c r="H4327" s="94"/>
      <c r="I4327" s="94"/>
      <c r="J4327" s="94"/>
      <c r="K4327" s="18">
        <f>+G4327-H4327-I4327-J4327</f>
        <v>230227000</v>
      </c>
      <c r="L4327" s="19">
        <f>+L4326-G4327</f>
        <v>5950000</v>
      </c>
      <c r="M4327" s="96"/>
      <c r="N4327" s="96"/>
      <c r="O4327" s="149">
        <f>+VLOOKUP(A4326,'[1]ANEXO 7 - PPTO VIG 2021'!$H$8:$AD$165,21,)-L4328</f>
        <v>0</v>
      </c>
      <c r="P4327" s="55"/>
      <c r="Q4327" s="98"/>
      <c r="R4327" s="14"/>
      <c r="S4327" s="14"/>
      <c r="T4327" s="30"/>
      <c r="U4327" s="146"/>
      <c r="V4327" s="146"/>
    </row>
    <row r="4328" spans="1:22" s="31" customFormat="1" ht="15" hidden="1" x14ac:dyDescent="0.25">
      <c r="B4328" s="215">
        <v>44537.125</v>
      </c>
      <c r="C4328" s="216" t="s">
        <v>4013</v>
      </c>
      <c r="D4328" s="217"/>
      <c r="E4328" s="217">
        <v>5950000</v>
      </c>
      <c r="F4328" s="219"/>
      <c r="G4328" s="93">
        <f>+E4328</f>
        <v>5950000</v>
      </c>
      <c r="H4328" s="218"/>
      <c r="I4328" s="218"/>
      <c r="J4328" s="218"/>
      <c r="K4328" s="18">
        <f>+G4328-H4328-I4328-J4328</f>
        <v>5950000</v>
      </c>
      <c r="L4328" s="19">
        <f>+L4327-G4328</f>
        <v>0</v>
      </c>
      <c r="M4328" s="96"/>
      <c r="N4328" s="96"/>
      <c r="O4328" s="81"/>
      <c r="P4328" s="84"/>
      <c r="Q4328" s="98"/>
      <c r="R4328" s="125"/>
      <c r="S4328" s="125"/>
      <c r="T4328" s="30"/>
      <c r="U4328" s="146"/>
      <c r="V4328" s="146"/>
    </row>
    <row r="4329" spans="1:22" s="31" customFormat="1" ht="15" hidden="1" x14ac:dyDescent="0.25">
      <c r="A4329" s="31">
        <v>6302021</v>
      </c>
      <c r="B4329" s="139" t="s">
        <v>4014</v>
      </c>
      <c r="C4329" s="140"/>
      <c r="D4329" s="141">
        <v>7700000</v>
      </c>
      <c r="E4329" s="141">
        <f>+D4329</f>
        <v>7700000</v>
      </c>
      <c r="F4329" s="141"/>
      <c r="G4329" s="141"/>
      <c r="H4329" s="141"/>
      <c r="I4329" s="141"/>
      <c r="J4329" s="141"/>
      <c r="K4329" s="141"/>
      <c r="L4329" s="141">
        <f>+D4329</f>
        <v>7700000</v>
      </c>
      <c r="M4329" s="142"/>
      <c r="N4329" s="142"/>
      <c r="P4329" s="126"/>
      <c r="Q4329" s="126"/>
      <c r="R4329" s="29"/>
      <c r="S4329" s="29"/>
      <c r="T4329" s="30"/>
    </row>
    <row r="4330" spans="1:22" s="31" customFormat="1" ht="15" hidden="1" x14ac:dyDescent="0.25">
      <c r="B4330" s="89">
        <v>44544.125</v>
      </c>
      <c r="C4330" s="92" t="s">
        <v>4015</v>
      </c>
      <c r="D4330" s="23"/>
      <c r="E4330" s="23">
        <v>1100000</v>
      </c>
      <c r="F4330" s="93"/>
      <c r="G4330" s="93">
        <f>+E4330</f>
        <v>1100000</v>
      </c>
      <c r="H4330" s="94"/>
      <c r="I4330" s="94"/>
      <c r="J4330" s="94">
        <v>9414.64</v>
      </c>
      <c r="K4330" s="18">
        <f>+G4330-H4330-I4330-J4330</f>
        <v>1090585.3600000001</v>
      </c>
      <c r="L4330" s="19">
        <f>+L4329-G4330</f>
        <v>6600000</v>
      </c>
      <c r="M4330" s="96"/>
      <c r="N4330" s="96"/>
      <c r="O4330" s="149">
        <f>+VLOOKUP(A4329,'[1]ANEXO 7 - PPTO VIG 2021'!$H$8:$AD$165,21,)-L4332</f>
        <v>-600000</v>
      </c>
      <c r="P4330" s="55">
        <v>55023749</v>
      </c>
      <c r="Q4330" s="98">
        <v>44470</v>
      </c>
      <c r="R4330" s="14">
        <v>113600</v>
      </c>
      <c r="S4330" s="14">
        <v>145400</v>
      </c>
      <c r="T4330" s="30">
        <f>+L4329-600000</f>
        <v>7100000</v>
      </c>
      <c r="U4330" s="146">
        <f>+T4330*40%</f>
        <v>2840000</v>
      </c>
      <c r="V4330" s="146"/>
    </row>
    <row r="4331" spans="1:22" s="31" customFormat="1" ht="15" hidden="1" x14ac:dyDescent="0.25">
      <c r="B4331" s="89">
        <v>44544.125</v>
      </c>
      <c r="C4331" s="92" t="s">
        <v>4016</v>
      </c>
      <c r="D4331" s="23"/>
      <c r="E4331" s="23">
        <v>3000000</v>
      </c>
      <c r="F4331" s="93"/>
      <c r="G4331" s="93">
        <f>+E4331</f>
        <v>3000000</v>
      </c>
      <c r="H4331" s="94"/>
      <c r="I4331" s="94"/>
      <c r="J4331" s="94">
        <v>25676.28</v>
      </c>
      <c r="K4331" s="18">
        <f>+G4331-H4331-I4331-J4331</f>
        <v>2974323.72</v>
      </c>
      <c r="L4331" s="19">
        <f>+L4330-G4331</f>
        <v>3600000</v>
      </c>
      <c r="M4331" s="96"/>
      <c r="N4331" s="96"/>
      <c r="O4331" s="81"/>
      <c r="P4331" s="55">
        <v>55024111</v>
      </c>
      <c r="Q4331" s="98">
        <v>44501</v>
      </c>
      <c r="R4331" s="14">
        <v>150000</v>
      </c>
      <c r="S4331" s="14">
        <v>192000</v>
      </c>
      <c r="T4331" s="30"/>
      <c r="U4331" s="146"/>
      <c r="V4331" s="146"/>
    </row>
    <row r="4332" spans="1:22" ht="15" hidden="1" x14ac:dyDescent="0.25">
      <c r="B4332" s="89">
        <v>44559.125</v>
      </c>
      <c r="C4332" s="200" t="s">
        <v>4017</v>
      </c>
      <c r="E4332" s="23">
        <v>3000000</v>
      </c>
      <c r="F4332" s="93"/>
      <c r="G4332" s="93">
        <f>+E4332</f>
        <v>3000000</v>
      </c>
      <c r="J4332" s="138">
        <v>25676.28</v>
      </c>
      <c r="K4332" s="18">
        <f>+G4332-H4332-I4332-J4332</f>
        <v>2974323.72</v>
      </c>
      <c r="L4332" s="19">
        <f>+L4331-G4332</f>
        <v>600000</v>
      </c>
      <c r="P4332" s="84">
        <v>55496845</v>
      </c>
      <c r="Q4332" s="98">
        <v>44531</v>
      </c>
      <c r="R4332" s="14">
        <v>150000</v>
      </c>
      <c r="S4332" s="14">
        <v>192000</v>
      </c>
      <c r="T4332" s="30"/>
      <c r="U4332" s="146">
        <f>+U4330*12.5%</f>
        <v>355000</v>
      </c>
      <c r="V4332" s="221" t="s">
        <v>11</v>
      </c>
    </row>
    <row r="4333" spans="1:22" ht="15" hidden="1" x14ac:dyDescent="0.25">
      <c r="P4333" s="84"/>
      <c r="Q4333" s="98"/>
      <c r="R4333" s="178">
        <f>SUM(R4330:R4332)</f>
        <v>413600</v>
      </c>
      <c r="S4333" s="177">
        <f>SUM(S4330:S4332)</f>
        <v>529400</v>
      </c>
      <c r="T4333" s="30"/>
      <c r="U4333" s="146">
        <f>+U4330*16%</f>
        <v>454400</v>
      </c>
      <c r="V4333" s="185" t="s">
        <v>12</v>
      </c>
    </row>
    <row r="4334" spans="1:22" s="31" customFormat="1" ht="15" hidden="1" x14ac:dyDescent="0.25">
      <c r="A4334" s="31">
        <v>6312021</v>
      </c>
      <c r="B4334" s="139" t="s">
        <v>4018</v>
      </c>
      <c r="C4334" s="140"/>
      <c r="D4334" s="141">
        <v>1500000000</v>
      </c>
      <c r="E4334" s="141">
        <f>+D4334</f>
        <v>1500000000</v>
      </c>
      <c r="F4334" s="141"/>
      <c r="G4334" s="141"/>
      <c r="H4334" s="141"/>
      <c r="I4334" s="141"/>
      <c r="J4334" s="141"/>
      <c r="K4334" s="141"/>
      <c r="L4334" s="141">
        <f>+D4334</f>
        <v>1500000000</v>
      </c>
      <c r="M4334" s="142"/>
      <c r="N4334" s="142"/>
      <c r="P4334" s="126"/>
      <c r="Q4334" s="126"/>
      <c r="R4334" s="29"/>
      <c r="S4334" s="29"/>
      <c r="T4334" s="30"/>
    </row>
    <row r="4335" spans="1:22" s="31" customFormat="1" ht="15" hidden="1" x14ac:dyDescent="0.25">
      <c r="B4335" s="89">
        <v>44557.125</v>
      </c>
      <c r="C4335" s="92" t="s">
        <v>4019</v>
      </c>
      <c r="D4335" s="23"/>
      <c r="E4335" s="23">
        <v>449999982.97000003</v>
      </c>
      <c r="F4335" s="93"/>
      <c r="G4335" s="93">
        <f>+E4335</f>
        <v>449999982.97000003</v>
      </c>
      <c r="H4335" s="94"/>
      <c r="I4335" s="94"/>
      <c r="J4335" s="94"/>
      <c r="K4335" s="18">
        <f>+G4335-H4335-I4335-J4335</f>
        <v>449999982.97000003</v>
      </c>
      <c r="L4335" s="19">
        <f>+L4334-G4335</f>
        <v>1050000017.03</v>
      </c>
      <c r="M4335" s="96"/>
      <c r="N4335" s="96"/>
      <c r="O4335" s="149">
        <f>+VLOOKUP(A4334,'[1]ANEXO 7 - PPTO VIG 2021'!$H$8:$AB$166,21,)-L4336</f>
        <v>-2.9999971389770508E-2</v>
      </c>
      <c r="P4335" s="55"/>
      <c r="Q4335" s="98"/>
      <c r="R4335" s="14"/>
      <c r="S4335" s="14"/>
      <c r="T4335" s="30"/>
      <c r="U4335" s="146"/>
      <c r="V4335" s="146"/>
    </row>
    <row r="4336" spans="1:22" ht="15" hidden="1" x14ac:dyDescent="0.25">
      <c r="B4336" s="89">
        <v>44559.125</v>
      </c>
      <c r="C4336" s="200" t="s">
        <v>4020</v>
      </c>
      <c r="E4336" s="138">
        <v>599999999</v>
      </c>
      <c r="G4336" s="93">
        <f>+E4336</f>
        <v>599999999</v>
      </c>
      <c r="K4336" s="18">
        <f>+G4336-H4336-I4336-J4336</f>
        <v>599999999</v>
      </c>
      <c r="L4336" s="19">
        <f>+L4335-G4336</f>
        <v>450000018.02999997</v>
      </c>
    </row>
    <row r="4337" spans="1:22" ht="15" hidden="1" x14ac:dyDescent="0.25"/>
    <row r="4338" spans="1:22" s="31" customFormat="1" ht="15" hidden="1" x14ac:dyDescent="0.25">
      <c r="A4338" s="31">
        <v>6042021</v>
      </c>
      <c r="B4338" s="139" t="s">
        <v>4021</v>
      </c>
      <c r="C4338" s="140"/>
      <c r="D4338" s="141">
        <v>23245040</v>
      </c>
      <c r="E4338" s="141">
        <f>+D4338</f>
        <v>23245040</v>
      </c>
      <c r="F4338" s="141"/>
      <c r="G4338" s="141"/>
      <c r="H4338" s="141"/>
      <c r="I4338" s="141"/>
      <c r="J4338" s="141"/>
      <c r="K4338" s="141"/>
      <c r="L4338" s="141">
        <f>+D4338</f>
        <v>23245040</v>
      </c>
      <c r="M4338" s="142"/>
      <c r="N4338" s="142"/>
      <c r="P4338" s="126"/>
      <c r="Q4338" s="126"/>
      <c r="R4338" s="29"/>
      <c r="S4338" s="29"/>
      <c r="T4338" s="30"/>
    </row>
    <row r="4339" spans="1:22" s="31" customFormat="1" ht="15" hidden="1" x14ac:dyDescent="0.25">
      <c r="B4339" s="89">
        <v>44559.125</v>
      </c>
      <c r="C4339" s="92" t="s">
        <v>4022</v>
      </c>
      <c r="D4339" s="23"/>
      <c r="E4339" s="23">
        <v>7498400</v>
      </c>
      <c r="F4339" s="93"/>
      <c r="G4339" s="93">
        <f>+E4339</f>
        <v>7498400</v>
      </c>
      <c r="H4339" s="94">
        <v>179583.53</v>
      </c>
      <c r="I4339" s="94">
        <v>127000.12</v>
      </c>
      <c r="J4339" s="94">
        <v>53930.26</v>
      </c>
      <c r="K4339" s="18">
        <f>+G4339-H4339-I4339-J4339</f>
        <v>7137886.0899999999</v>
      </c>
      <c r="L4339" s="19">
        <f>+L4338-G4339</f>
        <v>15746640</v>
      </c>
      <c r="M4339" s="96"/>
      <c r="N4339" s="96"/>
      <c r="O4339" s="149">
        <f>+VLOOKUP(A4338,'[1]ANEXO 7 - PPTO VIG 2021'!$H$8:$AB$166,21,)-L4341</f>
        <v>-749840</v>
      </c>
      <c r="P4339" s="55">
        <v>9425913824</v>
      </c>
      <c r="Q4339" s="98">
        <v>44440</v>
      </c>
      <c r="R4339" s="14">
        <v>475000</v>
      </c>
      <c r="S4339" s="14">
        <v>646000</v>
      </c>
      <c r="T4339" s="30">
        <f>+L4338-749840</f>
        <v>22495200</v>
      </c>
      <c r="U4339" s="30">
        <f>+T4339*40%</f>
        <v>8998080</v>
      </c>
      <c r="V4339" s="146"/>
    </row>
    <row r="4340" spans="1:22" s="31" customFormat="1" ht="15" hidden="1" x14ac:dyDescent="0.25">
      <c r="B4340" s="215">
        <v>44559.125</v>
      </c>
      <c r="C4340" s="216" t="s">
        <v>4023</v>
      </c>
      <c r="D4340" s="217"/>
      <c r="E4340" s="217">
        <v>7498400</v>
      </c>
      <c r="F4340" s="219"/>
      <c r="G4340" s="93">
        <f>+E4340</f>
        <v>7498400</v>
      </c>
      <c r="H4340" s="218">
        <v>179583.53</v>
      </c>
      <c r="I4340" s="218">
        <v>127000.12</v>
      </c>
      <c r="J4340" s="218">
        <v>53930.26</v>
      </c>
      <c r="K4340" s="18">
        <f>+G4340-H4340-I4340-J4340</f>
        <v>7137886.0899999999</v>
      </c>
      <c r="L4340" s="19">
        <f>+L4339-G4340</f>
        <v>8248240</v>
      </c>
      <c r="M4340" s="96"/>
      <c r="N4340" s="96"/>
      <c r="O4340" s="81"/>
      <c r="P4340" s="84">
        <v>9426861173</v>
      </c>
      <c r="Q4340" s="98">
        <v>44470</v>
      </c>
      <c r="R4340" s="14">
        <v>475000</v>
      </c>
      <c r="S4340" s="14">
        <v>646000</v>
      </c>
      <c r="T4340" s="30"/>
      <c r="U4340" s="30"/>
      <c r="V4340" s="146"/>
    </row>
    <row r="4341" spans="1:22" s="31" customFormat="1" ht="15" hidden="1" x14ac:dyDescent="0.25">
      <c r="B4341" s="215">
        <v>44559.125</v>
      </c>
      <c r="C4341" s="216" t="s">
        <v>4024</v>
      </c>
      <c r="D4341" s="217"/>
      <c r="E4341" s="217">
        <v>7498400</v>
      </c>
      <c r="F4341" s="219"/>
      <c r="G4341" s="93">
        <f>+E4341</f>
        <v>7498400</v>
      </c>
      <c r="H4341" s="218">
        <v>179583.53</v>
      </c>
      <c r="I4341" s="218">
        <v>134538.39000000001</v>
      </c>
      <c r="J4341" s="218">
        <v>53930.26</v>
      </c>
      <c r="K4341" s="18">
        <f>+G4341-H4341-I4341-J4341</f>
        <v>7130347.8200000003</v>
      </c>
      <c r="L4341" s="19">
        <f>+L4340-G4341</f>
        <v>749840</v>
      </c>
      <c r="M4341" s="96"/>
      <c r="N4341" s="96"/>
      <c r="O4341" s="81"/>
      <c r="P4341" s="84">
        <v>9428007627</v>
      </c>
      <c r="Q4341" s="98">
        <v>44501</v>
      </c>
      <c r="R4341" s="14">
        <v>475000</v>
      </c>
      <c r="S4341" s="14">
        <v>646000</v>
      </c>
      <c r="T4341" s="30"/>
      <c r="U4341" s="221">
        <f>+U4339*12.5%</f>
        <v>1124760</v>
      </c>
      <c r="V4341" s="146" t="s">
        <v>11</v>
      </c>
    </row>
    <row r="4342" spans="1:22" ht="15" hidden="1" x14ac:dyDescent="0.25">
      <c r="P4342" s="21">
        <v>9428644595</v>
      </c>
      <c r="Q4342" s="98">
        <v>44531</v>
      </c>
      <c r="R4342" s="14">
        <v>475000</v>
      </c>
      <c r="S4342" s="14">
        <v>646000</v>
      </c>
      <c r="U4342" s="185">
        <f>+U4339*16%</f>
        <v>1439692.8</v>
      </c>
      <c r="V4342" s="21" t="s">
        <v>12</v>
      </c>
    </row>
    <row r="4343" spans="1:22" s="31" customFormat="1" ht="15" hidden="1" x14ac:dyDescent="0.25">
      <c r="A4343" s="31">
        <v>732022</v>
      </c>
      <c r="B4343" s="139" t="s">
        <v>4025</v>
      </c>
      <c r="C4343" s="140"/>
      <c r="D4343" s="141">
        <v>59410400</v>
      </c>
      <c r="E4343" s="141">
        <f>+D4343</f>
        <v>59410400</v>
      </c>
      <c r="F4343" s="141"/>
      <c r="G4343" s="141"/>
      <c r="H4343" s="141"/>
      <c r="I4343" s="141"/>
      <c r="J4343" s="141"/>
      <c r="K4343" s="141"/>
      <c r="L4343" s="141">
        <f>+D4343</f>
        <v>59410400</v>
      </c>
      <c r="M4343" s="142"/>
      <c r="N4343" s="142"/>
      <c r="P4343" s="126"/>
      <c r="Q4343" s="126"/>
      <c r="R4343" s="29"/>
      <c r="S4343" s="29"/>
      <c r="T4343" s="30"/>
    </row>
    <row r="4344" spans="1:22" s="31" customFormat="1" ht="15" hidden="1" x14ac:dyDescent="0.25">
      <c r="B4344" s="89">
        <v>44596.125</v>
      </c>
      <c r="C4344" s="284" t="s">
        <v>4026</v>
      </c>
      <c r="D4344" s="285"/>
      <c r="E4344" s="285">
        <v>6188583.3300000001</v>
      </c>
      <c r="F4344" s="201"/>
      <c r="G4344" s="201">
        <f>+E4344</f>
        <v>6188583.3300000001</v>
      </c>
      <c r="H4344" s="202"/>
      <c r="I4344" s="202">
        <v>195900.93</v>
      </c>
      <c r="J4344" s="202">
        <v>47404.55</v>
      </c>
      <c r="K4344" s="72">
        <f>+G4344-H4344-I4344-J4344</f>
        <v>5945277.8500000006</v>
      </c>
      <c r="L4344" s="19">
        <f>+L4343-G4344</f>
        <v>53221816.670000002</v>
      </c>
      <c r="M4344" s="96"/>
      <c r="N4344" s="96"/>
      <c r="O4344" s="149">
        <f>+VLOOKUP(A4343,'[1]ANEXO 7 - PPTO VIG 2022'!$G$9:$AB$201,21,)-L4345</f>
        <v>0</v>
      </c>
      <c r="P4344" s="113">
        <v>55333868</v>
      </c>
      <c r="Q4344" s="114">
        <v>44531</v>
      </c>
      <c r="R4344" s="115">
        <v>325000</v>
      </c>
      <c r="S4344" s="115">
        <v>416000</v>
      </c>
      <c r="T4344" s="30"/>
      <c r="U4344" s="146"/>
      <c r="V4344" s="146"/>
    </row>
    <row r="4345" spans="1:22" ht="15" x14ac:dyDescent="0.25">
      <c r="B4345" s="100">
        <v>44622.125</v>
      </c>
      <c r="C4345" s="62" t="s">
        <v>4027</v>
      </c>
      <c r="D4345" s="62"/>
      <c r="E4345" s="61">
        <v>7426300</v>
      </c>
      <c r="F4345" s="61"/>
      <c r="G4345" s="61">
        <f>+E4345</f>
        <v>7426300</v>
      </c>
      <c r="H4345" s="61"/>
      <c r="I4345" s="61">
        <v>249398.06</v>
      </c>
      <c r="J4345" s="61">
        <v>50400.52</v>
      </c>
      <c r="K4345" s="18">
        <f>+G4345-H4345-I4345-J4345</f>
        <v>7126501.4200000009</v>
      </c>
      <c r="L4345" s="19">
        <f>+L4344-G4345</f>
        <v>45795516.670000002</v>
      </c>
      <c r="P4345" s="21">
        <v>55831233</v>
      </c>
      <c r="Q4345" s="127">
        <v>44562</v>
      </c>
      <c r="R4345" s="125">
        <v>375000</v>
      </c>
      <c r="S4345" s="125">
        <v>480000</v>
      </c>
    </row>
    <row r="4346" spans="1:22" s="31" customFormat="1" ht="15" hidden="1" x14ac:dyDescent="0.25">
      <c r="A4346" s="31">
        <v>822022</v>
      </c>
      <c r="B4346" s="139" t="s">
        <v>4028</v>
      </c>
      <c r="C4346" s="294"/>
      <c r="D4346" s="210">
        <v>59410400</v>
      </c>
      <c r="E4346" s="210">
        <f>+D4346</f>
        <v>59410400</v>
      </c>
      <c r="F4346" s="210"/>
      <c r="G4346" s="210"/>
      <c r="H4346" s="210"/>
      <c r="I4346" s="210"/>
      <c r="J4346" s="210"/>
      <c r="K4346" s="210"/>
      <c r="L4346" s="141">
        <f>+D4346</f>
        <v>59410400</v>
      </c>
      <c r="M4346" s="142"/>
      <c r="N4346" s="142"/>
      <c r="P4346" s="126"/>
      <c r="Q4346" s="126"/>
      <c r="R4346" s="29"/>
      <c r="S4346" s="29"/>
      <c r="T4346" s="30"/>
    </row>
    <row r="4347" spans="1:22" s="31" customFormat="1" ht="15" hidden="1" x14ac:dyDescent="0.25">
      <c r="B4347" s="89">
        <v>44595.125</v>
      </c>
      <c r="C4347" s="284" t="s">
        <v>4029</v>
      </c>
      <c r="D4347" s="285"/>
      <c r="E4347" s="285">
        <v>6188583.3300000001</v>
      </c>
      <c r="F4347" s="201"/>
      <c r="G4347" s="201">
        <f>+E4347</f>
        <v>6188583.3300000001</v>
      </c>
      <c r="H4347" s="202"/>
      <c r="I4347" s="202">
        <v>93215.64</v>
      </c>
      <c r="J4347" s="202">
        <v>42000.43</v>
      </c>
      <c r="K4347" s="72">
        <f>+G4347-H4347-I4347-J4347</f>
        <v>6053367.2600000007</v>
      </c>
      <c r="L4347" s="19">
        <f>+L4346-G4347</f>
        <v>53221816.670000002</v>
      </c>
      <c r="M4347" s="96"/>
      <c r="N4347" s="96"/>
      <c r="O4347" s="149">
        <f>+VLOOKUP(A4346,'[1]ANEXO 7 - PPTO VIG 2022'!$G$9:$AB$201,21,)-L4348</f>
        <v>0</v>
      </c>
      <c r="P4347" s="113">
        <v>55348508</v>
      </c>
      <c r="Q4347" s="114">
        <v>44531</v>
      </c>
      <c r="R4347" s="115">
        <v>360500</v>
      </c>
      <c r="S4347" s="115">
        <v>461500</v>
      </c>
      <c r="T4347" s="30"/>
      <c r="U4347" s="146"/>
      <c r="V4347" s="146"/>
    </row>
    <row r="4348" spans="1:22" ht="15" x14ac:dyDescent="0.25">
      <c r="B4348" s="100">
        <v>44622.125</v>
      </c>
      <c r="C4348" s="62" t="s">
        <v>4030</v>
      </c>
      <c r="D4348" s="62"/>
      <c r="E4348" s="61">
        <v>7426300</v>
      </c>
      <c r="F4348" s="61"/>
      <c r="G4348" s="93">
        <f>+E4348</f>
        <v>7426300</v>
      </c>
      <c r="H4348" s="61"/>
      <c r="I4348" s="61">
        <v>249412.31</v>
      </c>
      <c r="J4348" s="61">
        <v>50400.52</v>
      </c>
      <c r="K4348" s="18">
        <f>+G4348-H4348-I4348-J4348</f>
        <v>7126487.1700000009</v>
      </c>
      <c r="L4348" s="19">
        <f>+L4347-G4348</f>
        <v>45795516.670000002</v>
      </c>
      <c r="P4348" s="21">
        <v>56912008</v>
      </c>
      <c r="Q4348" s="127">
        <v>44562</v>
      </c>
      <c r="R4348" s="125">
        <v>371400</v>
      </c>
      <c r="S4348" s="125">
        <v>475300</v>
      </c>
    </row>
    <row r="4349" spans="1:22" s="31" customFormat="1" ht="15" hidden="1" x14ac:dyDescent="0.25">
      <c r="A4349" s="31">
        <v>112022</v>
      </c>
      <c r="B4349" s="139" t="s">
        <v>4031</v>
      </c>
      <c r="C4349" s="294"/>
      <c r="D4349" s="210">
        <v>13600000</v>
      </c>
      <c r="E4349" s="210">
        <v>13600000</v>
      </c>
      <c r="F4349" s="210"/>
      <c r="G4349" s="210"/>
      <c r="H4349" s="210"/>
      <c r="I4349" s="210"/>
      <c r="J4349" s="210"/>
      <c r="K4349" s="210"/>
      <c r="L4349" s="141">
        <f>+D4349</f>
        <v>13600000</v>
      </c>
      <c r="M4349" s="142"/>
      <c r="N4349" s="142"/>
      <c r="P4349" s="126"/>
      <c r="Q4349" s="126"/>
      <c r="R4349" s="29"/>
      <c r="S4349" s="29"/>
      <c r="T4349" s="30"/>
    </row>
    <row r="4350" spans="1:22" s="31" customFormat="1" ht="15" hidden="1" x14ac:dyDescent="0.25">
      <c r="B4350" s="89">
        <v>44596.125</v>
      </c>
      <c r="C4350" s="284" t="s">
        <v>4032</v>
      </c>
      <c r="D4350" s="285"/>
      <c r="E4350" s="201">
        <v>7650000</v>
      </c>
      <c r="F4350" s="201"/>
      <c r="G4350" s="201">
        <f>+E4350</f>
        <v>7650000</v>
      </c>
      <c r="H4350" s="202"/>
      <c r="I4350" s="202">
        <v>295140.28000000003</v>
      </c>
      <c r="J4350" s="202">
        <v>58599</v>
      </c>
      <c r="K4350" s="72">
        <f>+G4350-H4350-I4350-J4350</f>
        <v>7296260.7199999997</v>
      </c>
      <c r="L4350" s="19">
        <f>+L4349-G4350</f>
        <v>5950000</v>
      </c>
      <c r="M4350" s="96"/>
      <c r="N4350" s="96"/>
      <c r="O4350" s="149">
        <f>+VLOOKUP(A4349,'[1]ANEXO 7 - PPTO VIG 2022'!$G$9:$AB$201,21,)-L4351</f>
        <v>0</v>
      </c>
      <c r="P4350" s="143">
        <v>55191458</v>
      </c>
      <c r="Q4350" s="144">
        <v>44531</v>
      </c>
      <c r="R4350" s="145">
        <v>400000</v>
      </c>
      <c r="S4350" s="145">
        <v>512000</v>
      </c>
      <c r="T4350" s="30"/>
      <c r="U4350" s="146"/>
      <c r="V4350" s="146"/>
    </row>
    <row r="4351" spans="1:22" ht="15" x14ac:dyDescent="0.25">
      <c r="B4351" s="100">
        <v>44634.083333333336</v>
      </c>
      <c r="C4351" s="62" t="s">
        <v>4033</v>
      </c>
      <c r="D4351" s="62"/>
      <c r="E4351" s="61">
        <v>5950000</v>
      </c>
      <c r="F4351" s="61"/>
      <c r="G4351" s="93">
        <f>+E4351</f>
        <v>5950000</v>
      </c>
      <c r="H4351" s="61"/>
      <c r="I4351" s="61"/>
      <c r="J4351" s="61">
        <v>40381.22</v>
      </c>
      <c r="K4351" s="18">
        <f>+G4351-H4351-I4351-J4351</f>
        <v>5909618.7800000003</v>
      </c>
      <c r="L4351" s="19">
        <f>+L4350-G4351</f>
        <v>0</v>
      </c>
      <c r="P4351" s="21">
        <v>56047603</v>
      </c>
      <c r="Q4351" s="127">
        <v>44562</v>
      </c>
      <c r="R4351" s="125">
        <v>425000</v>
      </c>
      <c r="S4351" s="125">
        <v>544000</v>
      </c>
    </row>
    <row r="4352" spans="1:22" s="31" customFormat="1" ht="15" hidden="1" x14ac:dyDescent="0.25">
      <c r="A4352" s="31">
        <v>122022</v>
      </c>
      <c r="B4352" s="139" t="s">
        <v>4034</v>
      </c>
      <c r="C4352" s="294"/>
      <c r="D4352" s="210">
        <v>101150000</v>
      </c>
      <c r="E4352" s="210">
        <f>+D4352</f>
        <v>101150000</v>
      </c>
      <c r="F4352" s="210"/>
      <c r="G4352" s="210"/>
      <c r="H4352" s="210"/>
      <c r="I4352" s="210"/>
      <c r="J4352" s="210"/>
      <c r="K4352" s="210"/>
      <c r="L4352" s="141">
        <f>+D4352</f>
        <v>101150000</v>
      </c>
      <c r="M4352" s="142"/>
      <c r="N4352" s="142"/>
      <c r="P4352" s="126"/>
      <c r="Q4352" s="126"/>
      <c r="R4352" s="29"/>
      <c r="S4352" s="29"/>
      <c r="T4352" s="30"/>
    </row>
    <row r="4353" spans="1:22" s="31" customFormat="1" ht="15" hidden="1" x14ac:dyDescent="0.25">
      <c r="B4353" s="89">
        <v>44596.125</v>
      </c>
      <c r="C4353" s="284" t="s">
        <v>4035</v>
      </c>
      <c r="D4353" s="285"/>
      <c r="E4353" s="285">
        <v>7650000</v>
      </c>
      <c r="F4353" s="201"/>
      <c r="G4353" s="201">
        <f>+E4353</f>
        <v>7650000</v>
      </c>
      <c r="H4353" s="202"/>
      <c r="I4353" s="202">
        <v>168472.04</v>
      </c>
      <c r="J4353" s="202">
        <v>51918.71</v>
      </c>
      <c r="K4353" s="72">
        <f>+G4353-H4353-I4353-J4353</f>
        <v>7429609.25</v>
      </c>
      <c r="L4353" s="19">
        <f>+L4352-G4353</f>
        <v>93500000</v>
      </c>
      <c r="M4353" s="96"/>
      <c r="N4353" s="96"/>
      <c r="O4353" s="149">
        <f>+VLOOKUP(A4352,'[1]ANEXO 7 - PPTO VIG 2022'!$G$9:$AB$201,21,)-L4354</f>
        <v>0</v>
      </c>
      <c r="P4353" s="143">
        <v>55383227</v>
      </c>
      <c r="Q4353" s="144">
        <v>44531</v>
      </c>
      <c r="R4353" s="145">
        <v>400000</v>
      </c>
      <c r="S4353" s="145">
        <v>512000</v>
      </c>
      <c r="T4353" s="30"/>
      <c r="U4353" s="146"/>
      <c r="V4353" s="146"/>
    </row>
    <row r="4354" spans="1:22" ht="15" x14ac:dyDescent="0.25">
      <c r="B4354" s="100">
        <v>44629.125</v>
      </c>
      <c r="C4354" s="62" t="s">
        <v>4036</v>
      </c>
      <c r="D4354" s="62"/>
      <c r="E4354" s="61">
        <v>8500000</v>
      </c>
      <c r="F4354" s="61"/>
      <c r="G4354" s="93">
        <f>+E4354</f>
        <v>8500000</v>
      </c>
      <c r="H4354" s="61"/>
      <c r="I4354" s="61">
        <v>263533.8</v>
      </c>
      <c r="J4354" s="61">
        <v>57687.46</v>
      </c>
      <c r="K4354" s="18">
        <f>+G4354-H4354-I4354-J4354</f>
        <v>8178778.7400000002</v>
      </c>
      <c r="L4354" s="19">
        <f>+L4353-G4354</f>
        <v>85000000</v>
      </c>
      <c r="P4354" s="21">
        <v>56047353</v>
      </c>
      <c r="Q4354" s="127">
        <v>44562</v>
      </c>
      <c r="R4354" s="125">
        <v>425000</v>
      </c>
      <c r="S4354" s="125">
        <v>544000</v>
      </c>
    </row>
    <row r="4355" spans="1:22" s="31" customFormat="1" ht="15" hidden="1" x14ac:dyDescent="0.25">
      <c r="A4355" s="31">
        <v>1352022</v>
      </c>
      <c r="B4355" s="139" t="s">
        <v>4037</v>
      </c>
      <c r="C4355" s="294"/>
      <c r="D4355" s="210">
        <v>73542000</v>
      </c>
      <c r="E4355" s="210">
        <f>+D4355</f>
        <v>73542000</v>
      </c>
      <c r="F4355" s="210"/>
      <c r="G4355" s="210"/>
      <c r="H4355" s="210"/>
      <c r="I4355" s="210"/>
      <c r="J4355" s="210"/>
      <c r="K4355" s="210"/>
      <c r="L4355" s="141">
        <f>+D4355</f>
        <v>73542000</v>
      </c>
      <c r="M4355" s="142"/>
      <c r="N4355" s="142"/>
      <c r="P4355" s="126"/>
      <c r="Q4355" s="126"/>
      <c r="R4355" s="29"/>
      <c r="S4355" s="29"/>
      <c r="T4355" s="30"/>
    </row>
    <row r="4356" spans="1:22" s="31" customFormat="1" ht="15" hidden="1" x14ac:dyDescent="0.25">
      <c r="B4356" s="89">
        <v>44596.125</v>
      </c>
      <c r="C4356" s="284" t="s">
        <v>4038</v>
      </c>
      <c r="D4356" s="285"/>
      <c r="E4356" s="285">
        <v>4120000</v>
      </c>
      <c r="F4356" s="201"/>
      <c r="G4356" s="201">
        <f>+E4356</f>
        <v>4120000</v>
      </c>
      <c r="H4356" s="202"/>
      <c r="I4356" s="202"/>
      <c r="J4356" s="202">
        <v>27961.45</v>
      </c>
      <c r="K4356" s="72">
        <f>+G4356-H4356-I4356-J4356</f>
        <v>4092038.55</v>
      </c>
      <c r="L4356" s="19">
        <f>+L4355-G4356</f>
        <v>69422000</v>
      </c>
      <c r="M4356" s="96"/>
      <c r="N4356" s="96"/>
      <c r="O4356" s="149">
        <f>+VLOOKUP(A4355,'[1]ANEXO 7 - PPTO VIG 2022'!$G$9:$AB$201,21,)-L4357</f>
        <v>0</v>
      </c>
      <c r="P4356" s="126">
        <v>7822340492</v>
      </c>
      <c r="Q4356" s="127">
        <v>44562</v>
      </c>
      <c r="R4356" s="29">
        <v>206000</v>
      </c>
      <c r="S4356" s="29">
        <v>263700</v>
      </c>
      <c r="T4356" s="30"/>
      <c r="U4356" s="146"/>
      <c r="V4356" s="146"/>
    </row>
    <row r="4357" spans="1:22" ht="15" x14ac:dyDescent="0.25">
      <c r="B4357" s="100">
        <v>44629.125</v>
      </c>
      <c r="C4357" s="62" t="s">
        <v>4039</v>
      </c>
      <c r="D4357" s="62"/>
      <c r="E4357" s="61">
        <v>6180000</v>
      </c>
      <c r="F4357" s="61"/>
      <c r="G4357" s="93">
        <f>+E4357</f>
        <v>6180000</v>
      </c>
      <c r="H4357" s="61"/>
      <c r="I4357" s="61">
        <v>92431.2</v>
      </c>
      <c r="J4357" s="61">
        <v>41942.18</v>
      </c>
      <c r="K4357" s="18">
        <f>+G4357-H4357-I4357-J4357</f>
        <v>6045626.6200000001</v>
      </c>
      <c r="L4357" s="19">
        <f>+L4356-G4357</f>
        <v>63242000</v>
      </c>
      <c r="P4357" s="21">
        <v>7827356631</v>
      </c>
      <c r="Q4357" s="127">
        <v>44593</v>
      </c>
      <c r="R4357" s="29">
        <v>309000</v>
      </c>
      <c r="S4357" s="29">
        <v>395600</v>
      </c>
    </row>
    <row r="4358" spans="1:22" s="31" customFormat="1" ht="15" hidden="1" x14ac:dyDescent="0.25">
      <c r="A4358" s="31">
        <v>2812022</v>
      </c>
      <c r="B4358" s="139" t="s">
        <v>4040</v>
      </c>
      <c r="C4358" s="294"/>
      <c r="D4358" s="210">
        <v>58500000</v>
      </c>
      <c r="E4358" s="210">
        <f>+D4358</f>
        <v>58500000</v>
      </c>
      <c r="F4358" s="210"/>
      <c r="G4358" s="210"/>
      <c r="H4358" s="210"/>
      <c r="I4358" s="210"/>
      <c r="J4358" s="210"/>
      <c r="K4358" s="210"/>
      <c r="L4358" s="141">
        <f>+D4358</f>
        <v>58500000</v>
      </c>
      <c r="M4358" s="142"/>
      <c r="N4358" s="142"/>
      <c r="P4358" s="126"/>
      <c r="Q4358" s="126"/>
      <c r="R4358" s="29"/>
      <c r="S4358" s="29"/>
      <c r="T4358" s="30"/>
    </row>
    <row r="4359" spans="1:22" s="31" customFormat="1" ht="15" hidden="1" x14ac:dyDescent="0.25">
      <c r="B4359" s="89">
        <v>44596.125</v>
      </c>
      <c r="C4359" s="284" t="s">
        <v>4041</v>
      </c>
      <c r="D4359" s="285"/>
      <c r="E4359" s="285">
        <v>2333333</v>
      </c>
      <c r="F4359" s="201"/>
      <c r="G4359" s="201">
        <f>+E4359</f>
        <v>2333333</v>
      </c>
      <c r="H4359" s="202"/>
      <c r="I4359" s="202"/>
      <c r="J4359" s="202">
        <v>15835.77</v>
      </c>
      <c r="K4359" s="72">
        <f>+G4359-H4359-I4359-J4359</f>
        <v>2317497.23</v>
      </c>
      <c r="L4359" s="19">
        <f>+L4358-G4359</f>
        <v>56166667</v>
      </c>
      <c r="M4359" s="96"/>
      <c r="N4359" s="96"/>
      <c r="O4359" s="149">
        <f>+VLOOKUP(A4358,'[1]ANEXO 7 - PPTO VIG 2022'!$G$9:$AB$201,21,)-L4360</f>
        <v>0</v>
      </c>
      <c r="P4359" s="126">
        <v>9428213763</v>
      </c>
      <c r="Q4359" s="127">
        <v>44531</v>
      </c>
      <c r="R4359" s="29">
        <v>400000</v>
      </c>
      <c r="S4359" s="29">
        <v>512000</v>
      </c>
      <c r="T4359" s="30"/>
      <c r="U4359" s="146"/>
      <c r="V4359" s="146"/>
    </row>
    <row r="4360" spans="1:22" ht="15" x14ac:dyDescent="0.25">
      <c r="B4360" s="100">
        <v>44630.125</v>
      </c>
      <c r="C4360" s="62" t="s">
        <v>4042</v>
      </c>
      <c r="D4360" s="62"/>
      <c r="E4360" s="61">
        <v>5000000</v>
      </c>
      <c r="F4360" s="61"/>
      <c r="G4360" s="93">
        <f>+E4360</f>
        <v>5000000</v>
      </c>
      <c r="H4360" s="61"/>
      <c r="I4360" s="61"/>
      <c r="J4360" s="61">
        <v>36116.9</v>
      </c>
      <c r="K4360" s="18">
        <f>+G4360-H4360-I4360-J4360</f>
        <v>4963883.0999999996</v>
      </c>
      <c r="L4360" s="19">
        <f>+L4359-G4360</f>
        <v>51166667</v>
      </c>
      <c r="P4360" s="21">
        <v>9429951141</v>
      </c>
      <c r="Q4360" s="127">
        <v>44562</v>
      </c>
      <c r="R4360" s="125">
        <v>125000</v>
      </c>
      <c r="S4360" s="125">
        <v>160000</v>
      </c>
    </row>
    <row r="4361" spans="1:22" s="31" customFormat="1" ht="15" hidden="1" x14ac:dyDescent="0.25">
      <c r="A4361" s="31">
        <v>3502022</v>
      </c>
      <c r="B4361" s="139" t="s">
        <v>4043</v>
      </c>
      <c r="C4361" s="294"/>
      <c r="D4361" s="210">
        <v>52960128</v>
      </c>
      <c r="E4361" s="210">
        <f>+D4361</f>
        <v>52960128</v>
      </c>
      <c r="F4361" s="210"/>
      <c r="G4361" s="210"/>
      <c r="H4361" s="210"/>
      <c r="I4361" s="210"/>
      <c r="J4361" s="210"/>
      <c r="K4361" s="210"/>
      <c r="L4361" s="141">
        <f>+D4361</f>
        <v>52960128</v>
      </c>
      <c r="M4361" s="142"/>
      <c r="N4361" s="142"/>
      <c r="P4361" s="126"/>
      <c r="Q4361" s="126"/>
      <c r="R4361" s="29"/>
      <c r="S4361" s="29"/>
      <c r="T4361" s="30"/>
    </row>
    <row r="4362" spans="1:22" s="31" customFormat="1" ht="15" hidden="1" x14ac:dyDescent="0.25">
      <c r="B4362" s="89">
        <v>44596.125</v>
      </c>
      <c r="C4362" s="284" t="s">
        <v>4044</v>
      </c>
      <c r="D4362" s="285"/>
      <c r="E4362" s="285">
        <v>1544670</v>
      </c>
      <c r="F4362" s="201"/>
      <c r="G4362" s="201">
        <f>+E4362</f>
        <v>1544670</v>
      </c>
      <c r="H4362" s="202"/>
      <c r="I4362" s="202"/>
      <c r="J4362" s="202">
        <v>11240.56</v>
      </c>
      <c r="K4362" s="72">
        <f>+G4362-H4362-I4362-J4362</f>
        <v>1533429.44</v>
      </c>
      <c r="L4362" s="19">
        <f>+L4361-G4362</f>
        <v>51415458</v>
      </c>
      <c r="M4362" s="96"/>
      <c r="N4362" s="96"/>
      <c r="O4362" s="149">
        <f>+VLOOKUP(A4361,'[1]ANEXO 7 - PPTO VIG 2022'!$G$9:$AB$201,21,)-L4363</f>
        <v>0</v>
      </c>
      <c r="P4362" s="126">
        <v>56321583</v>
      </c>
      <c r="Q4362" s="127">
        <v>44562</v>
      </c>
      <c r="R4362" s="29">
        <v>191900</v>
      </c>
      <c r="S4362" s="29"/>
      <c r="T4362" s="30"/>
      <c r="U4362" s="146"/>
      <c r="V4362" s="146"/>
    </row>
    <row r="4363" spans="1:22" ht="15" x14ac:dyDescent="0.25">
      <c r="B4363" s="100">
        <v>44622.125</v>
      </c>
      <c r="C4363" s="62" t="s">
        <v>4045</v>
      </c>
      <c r="D4363" s="62"/>
      <c r="E4363" s="61">
        <v>6620016</v>
      </c>
      <c r="F4363" s="61"/>
      <c r="G4363" s="93">
        <f>+E4363</f>
        <v>6620016</v>
      </c>
      <c r="H4363" s="61"/>
      <c r="I4363" s="61">
        <v>208231.71</v>
      </c>
      <c r="J4363" s="61">
        <v>48173.86</v>
      </c>
      <c r="K4363" s="18">
        <f>+G4363-H4363-I4363-J4363</f>
        <v>6363610.4299999997</v>
      </c>
      <c r="L4363" s="19">
        <f>+L4362-G4363</f>
        <v>44795442</v>
      </c>
      <c r="P4363" s="21">
        <v>56492545</v>
      </c>
      <c r="Q4363" s="127">
        <v>44593</v>
      </c>
      <c r="R4363" s="125">
        <v>398000</v>
      </c>
      <c r="S4363" s="125"/>
    </row>
    <row r="4364" spans="1:22" s="31" customFormat="1" ht="15" hidden="1" x14ac:dyDescent="0.25">
      <c r="A4364" s="31">
        <v>4312022</v>
      </c>
      <c r="B4364" s="139" t="s">
        <v>4046</v>
      </c>
      <c r="C4364" s="294"/>
      <c r="D4364" s="210">
        <v>98347833</v>
      </c>
      <c r="E4364" s="210">
        <f>+D4364</f>
        <v>98347833</v>
      </c>
      <c r="F4364" s="210"/>
      <c r="G4364" s="210"/>
      <c r="H4364" s="210"/>
      <c r="I4364" s="210"/>
      <c r="J4364" s="210"/>
      <c r="K4364" s="210"/>
      <c r="L4364" s="141">
        <f>+D4364</f>
        <v>98347833</v>
      </c>
      <c r="M4364" s="142"/>
      <c r="N4364" s="142"/>
      <c r="P4364" s="126"/>
      <c r="Q4364" s="126"/>
      <c r="R4364" s="29"/>
      <c r="S4364" s="29"/>
      <c r="T4364" s="30"/>
    </row>
    <row r="4365" spans="1:22" s="31" customFormat="1" ht="15" hidden="1" x14ac:dyDescent="0.25">
      <c r="B4365" s="89">
        <v>44596.125</v>
      </c>
      <c r="C4365" s="284" t="s">
        <v>4047</v>
      </c>
      <c r="D4365" s="285"/>
      <c r="E4365" s="285">
        <v>1751000</v>
      </c>
      <c r="F4365" s="201"/>
      <c r="G4365" s="201">
        <f>+E4365</f>
        <v>1751000</v>
      </c>
      <c r="H4365" s="202"/>
      <c r="I4365" s="202"/>
      <c r="J4365" s="202">
        <v>13412.66</v>
      </c>
      <c r="K4365" s="72">
        <f>+G4365-H4365-I4365-J4365</f>
        <v>1737587.34</v>
      </c>
      <c r="L4365" s="19">
        <f>+L4364-G4365</f>
        <v>96596833</v>
      </c>
      <c r="M4365" s="96"/>
      <c r="N4365" s="96"/>
      <c r="O4365" s="149">
        <f>+VLOOKUP(A4364,'[1]ANEXO 7 - PPTO VIG 2022'!$G$9:$AB$201,21,)-L4366</f>
        <v>0</v>
      </c>
      <c r="P4365" s="186">
        <v>7820244666</v>
      </c>
      <c r="Q4365" s="187">
        <v>44531</v>
      </c>
      <c r="R4365" s="222">
        <v>425000</v>
      </c>
      <c r="S4365" s="222"/>
      <c r="T4365" s="30"/>
      <c r="U4365" s="146"/>
      <c r="V4365" s="146"/>
    </row>
    <row r="4366" spans="1:22" s="31" customFormat="1" ht="15" x14ac:dyDescent="0.25">
      <c r="B4366" s="215">
        <v>44623.125</v>
      </c>
      <c r="C4366" s="92" t="s">
        <v>4048</v>
      </c>
      <c r="D4366" s="23"/>
      <c r="E4366" s="23">
        <v>8755000</v>
      </c>
      <c r="F4366" s="93"/>
      <c r="G4366" s="93">
        <f>+E4366</f>
        <v>8755000</v>
      </c>
      <c r="H4366" s="94"/>
      <c r="I4366" s="94">
        <v>526651.49</v>
      </c>
      <c r="J4366" s="94">
        <v>63710.14</v>
      </c>
      <c r="K4366" s="18">
        <f>+G4366-H4366-I4366-J4366</f>
        <v>8164638.3700000001</v>
      </c>
      <c r="L4366" s="19">
        <f>+L4365-G4366</f>
        <v>87841833</v>
      </c>
      <c r="M4366" s="96"/>
      <c r="N4366" s="96"/>
      <c r="O4366" s="81"/>
      <c r="P4366" s="159">
        <v>7826804043</v>
      </c>
      <c r="Q4366" s="127">
        <v>44562</v>
      </c>
      <c r="R4366" s="223">
        <v>437800</v>
      </c>
      <c r="S4366" s="223"/>
      <c r="T4366" s="30"/>
      <c r="U4366" s="146"/>
      <c r="V4366" s="146"/>
    </row>
    <row r="4367" spans="1:22" s="31" customFormat="1" ht="15" hidden="1" x14ac:dyDescent="0.25">
      <c r="A4367" s="31">
        <v>132022</v>
      </c>
      <c r="B4367" s="139" t="s">
        <v>4049</v>
      </c>
      <c r="C4367" s="294"/>
      <c r="D4367" s="210">
        <v>15200000</v>
      </c>
      <c r="E4367" s="210">
        <f>+D4367</f>
        <v>15200000</v>
      </c>
      <c r="F4367" s="210"/>
      <c r="G4367" s="210"/>
      <c r="H4367" s="210"/>
      <c r="I4367" s="210"/>
      <c r="J4367" s="210"/>
      <c r="K4367" s="210"/>
      <c r="L4367" s="141">
        <f>+D4367</f>
        <v>15200000</v>
      </c>
      <c r="M4367" s="142"/>
      <c r="N4367" s="142"/>
      <c r="P4367" s="126"/>
      <c r="Q4367" s="126"/>
      <c r="R4367" s="29"/>
      <c r="S4367" s="29"/>
      <c r="T4367" s="30"/>
    </row>
    <row r="4368" spans="1:22" s="31" customFormat="1" ht="15" hidden="1" x14ac:dyDescent="0.25">
      <c r="B4368" s="89">
        <v>44600.125</v>
      </c>
      <c r="C4368" s="284" t="s">
        <v>4050</v>
      </c>
      <c r="D4368" s="285"/>
      <c r="E4368" s="285">
        <v>8550000</v>
      </c>
      <c r="F4368" s="201"/>
      <c r="G4368" s="201">
        <f>+E4368</f>
        <v>8550000</v>
      </c>
      <c r="H4368" s="202"/>
      <c r="I4368" s="202">
        <v>390672.3</v>
      </c>
      <c r="J4368" s="202">
        <v>58026.8</v>
      </c>
      <c r="K4368" s="72">
        <f>+G4368-H4368-I4368-J4368</f>
        <v>8101300.9000000004</v>
      </c>
      <c r="L4368" s="19">
        <f>+L4367-G4368</f>
        <v>6650000</v>
      </c>
      <c r="M4368" s="96"/>
      <c r="N4368" s="96"/>
      <c r="O4368" s="149">
        <f>+VLOOKUP(A4367,'[1]ANEXO 7 - PPTO VIG 2022'!$G$9:$AB$201,21,)-L4369</f>
        <v>0</v>
      </c>
      <c r="P4368" s="224">
        <v>56225216</v>
      </c>
      <c r="Q4368" s="225">
        <v>44562</v>
      </c>
      <c r="R4368" s="226">
        <v>475000</v>
      </c>
      <c r="S4368" s="226">
        <v>608000</v>
      </c>
      <c r="T4368" s="30"/>
      <c r="U4368" s="146"/>
      <c r="V4368" s="146"/>
    </row>
    <row r="4369" spans="1:22" s="31" customFormat="1" ht="15" x14ac:dyDescent="0.25">
      <c r="B4369" s="215">
        <v>44629.125</v>
      </c>
      <c r="C4369" s="92" t="s">
        <v>4051</v>
      </c>
      <c r="D4369" s="23"/>
      <c r="E4369" s="23">
        <v>6650000</v>
      </c>
      <c r="F4369" s="93"/>
      <c r="G4369" s="93">
        <f>+E4369</f>
        <v>6650000</v>
      </c>
      <c r="H4369" s="94"/>
      <c r="I4369" s="94">
        <v>151642.79999999999</v>
      </c>
      <c r="J4369" s="94">
        <v>45131.95</v>
      </c>
      <c r="K4369" s="18">
        <f>+G4369-H4369-I4369-J4369</f>
        <v>6453225.25</v>
      </c>
      <c r="L4369" s="19">
        <f>+L4368-G4369</f>
        <v>0</v>
      </c>
      <c r="M4369" s="96"/>
      <c r="N4369" s="96"/>
      <c r="O4369" s="81"/>
      <c r="P4369" s="159"/>
      <c r="Q4369" s="174"/>
      <c r="R4369" s="223"/>
      <c r="S4369" s="223"/>
      <c r="T4369" s="30"/>
      <c r="U4369" s="146"/>
      <c r="V4369" s="146"/>
    </row>
    <row r="4370" spans="1:22" s="31" customFormat="1" ht="15" hidden="1" x14ac:dyDescent="0.25">
      <c r="A4370" s="31">
        <v>142022</v>
      </c>
      <c r="B4370" s="139" t="s">
        <v>4052</v>
      </c>
      <c r="C4370" s="294"/>
      <c r="D4370" s="210">
        <v>107100000</v>
      </c>
      <c r="E4370" s="210">
        <f>+D4370</f>
        <v>107100000</v>
      </c>
      <c r="F4370" s="210"/>
      <c r="G4370" s="210"/>
      <c r="H4370" s="210"/>
      <c r="I4370" s="210"/>
      <c r="J4370" s="210"/>
      <c r="K4370" s="210"/>
      <c r="L4370" s="141">
        <f>+D4370</f>
        <v>107100000</v>
      </c>
      <c r="M4370" s="142"/>
      <c r="N4370" s="142"/>
      <c r="P4370" s="126"/>
      <c r="Q4370" s="126"/>
      <c r="R4370" s="29"/>
      <c r="S4370" s="29"/>
      <c r="T4370" s="30"/>
    </row>
    <row r="4371" spans="1:22" s="31" customFormat="1" ht="15" hidden="1" x14ac:dyDescent="0.25">
      <c r="B4371" s="89">
        <v>44601.125</v>
      </c>
      <c r="C4371" s="284" t="s">
        <v>4053</v>
      </c>
      <c r="D4371" s="285"/>
      <c r="E4371" s="285">
        <v>8100000</v>
      </c>
      <c r="F4371" s="201"/>
      <c r="G4371" s="201">
        <f>+E4371</f>
        <v>8100000</v>
      </c>
      <c r="H4371" s="202">
        <v>193991.6</v>
      </c>
      <c r="I4371" s="202">
        <v>186989.98</v>
      </c>
      <c r="J4371" s="202">
        <v>52139.5</v>
      </c>
      <c r="K4371" s="72">
        <f>+G4371-H4371-I4371-J4371</f>
        <v>7666878.9199999999</v>
      </c>
      <c r="L4371" s="19">
        <f>+L4370-G4371</f>
        <v>99000000</v>
      </c>
      <c r="M4371" s="96"/>
      <c r="N4371" s="96"/>
      <c r="O4371" s="149">
        <f>+VLOOKUP(A4370,'[1]ANEXO 7 - PPTO VIG 2022'!$G$9:$AB$201,21,)-L4372</f>
        <v>0</v>
      </c>
      <c r="P4371" s="175">
        <v>55292994</v>
      </c>
      <c r="Q4371" s="144">
        <v>44531</v>
      </c>
      <c r="R4371" s="115">
        <v>755700</v>
      </c>
      <c r="S4371" s="115">
        <v>1027900</v>
      </c>
      <c r="T4371" s="30"/>
      <c r="U4371" s="146"/>
      <c r="V4371" s="146"/>
    </row>
    <row r="4372" spans="1:22" s="31" customFormat="1" ht="15" x14ac:dyDescent="0.25">
      <c r="B4372" s="215">
        <v>44634.083333333336</v>
      </c>
      <c r="C4372" s="92" t="s">
        <v>4054</v>
      </c>
      <c r="D4372" s="23"/>
      <c r="E4372" s="23">
        <v>9000000</v>
      </c>
      <c r="F4372" s="93"/>
      <c r="G4372" s="93">
        <f>+E4372</f>
        <v>9000000</v>
      </c>
      <c r="H4372" s="94">
        <v>215546.22</v>
      </c>
      <c r="I4372" s="94">
        <v>152310.53</v>
      </c>
      <c r="J4372" s="94">
        <v>51328.44</v>
      </c>
      <c r="K4372" s="18">
        <f>+G4372-H4372-I4372-J4372</f>
        <v>8580814.8100000005</v>
      </c>
      <c r="L4372" s="19">
        <f>+L4371-G4372</f>
        <v>90000000</v>
      </c>
      <c r="M4372" s="96"/>
      <c r="N4372" s="96"/>
      <c r="O4372" s="81"/>
      <c r="P4372" s="159">
        <v>55838437</v>
      </c>
      <c r="Q4372" s="225">
        <v>44562</v>
      </c>
      <c r="R4372" s="223">
        <v>755700</v>
      </c>
      <c r="S4372" s="223">
        <v>1027900</v>
      </c>
      <c r="T4372" s="30"/>
      <c r="U4372" s="146"/>
      <c r="V4372" s="146"/>
    </row>
    <row r="4373" spans="1:22" s="31" customFormat="1" ht="15" hidden="1" x14ac:dyDescent="0.25">
      <c r="A4373" s="31">
        <v>192022</v>
      </c>
      <c r="B4373" s="139" t="s">
        <v>4055</v>
      </c>
      <c r="C4373" s="294"/>
      <c r="D4373" s="210">
        <v>116858000</v>
      </c>
      <c r="E4373" s="210">
        <f>+D4373</f>
        <v>116858000</v>
      </c>
      <c r="F4373" s="210"/>
      <c r="G4373" s="210"/>
      <c r="H4373" s="210"/>
      <c r="I4373" s="210"/>
      <c r="J4373" s="210"/>
      <c r="K4373" s="210"/>
      <c r="L4373" s="141">
        <f>+D4373</f>
        <v>116858000</v>
      </c>
      <c r="M4373" s="142"/>
      <c r="N4373" s="142"/>
      <c r="P4373" s="126"/>
      <c r="Q4373" s="126"/>
      <c r="R4373" s="29"/>
      <c r="S4373" s="29"/>
      <c r="T4373" s="30"/>
    </row>
    <row r="4374" spans="1:22" s="31" customFormat="1" ht="15" hidden="1" x14ac:dyDescent="0.25">
      <c r="B4374" s="89">
        <v>44601.125</v>
      </c>
      <c r="C4374" s="284" t="s">
        <v>4056</v>
      </c>
      <c r="D4374" s="285"/>
      <c r="E4374" s="285">
        <v>8510667</v>
      </c>
      <c r="F4374" s="201"/>
      <c r="G4374" s="201">
        <f>+E4374</f>
        <v>8510667</v>
      </c>
      <c r="H4374" s="202"/>
      <c r="I4374" s="202">
        <v>262192.07</v>
      </c>
      <c r="J4374" s="202">
        <v>57759.85</v>
      </c>
      <c r="K4374" s="72">
        <f>+G4374-H4374-I4374-J4374</f>
        <v>8190715.0800000001</v>
      </c>
      <c r="L4374" s="19">
        <f>+L4373-G4374</f>
        <v>108347333</v>
      </c>
      <c r="M4374" s="96"/>
      <c r="N4374" s="96"/>
      <c r="O4374" s="149">
        <f>+VLOOKUP(A4373,'[1]ANEXO 7 - PPTO VIG 2022'!$G$9:$AB$201,21,)-L4375</f>
        <v>0</v>
      </c>
      <c r="P4374" s="227">
        <v>56385894</v>
      </c>
      <c r="Q4374" s="228">
        <v>44562</v>
      </c>
      <c r="R4374" s="229">
        <v>425600</v>
      </c>
      <c r="S4374" s="229">
        <v>544700</v>
      </c>
      <c r="T4374" s="30"/>
      <c r="U4374" s="146"/>
      <c r="V4374" s="146"/>
    </row>
    <row r="4375" spans="1:22" s="31" customFormat="1" ht="15" x14ac:dyDescent="0.25">
      <c r="B4375" s="215">
        <v>44629.125</v>
      </c>
      <c r="C4375" s="92" t="s">
        <v>4057</v>
      </c>
      <c r="D4375" s="23"/>
      <c r="E4375" s="23">
        <v>9820000</v>
      </c>
      <c r="F4375" s="93"/>
      <c r="G4375" s="93">
        <f>+E4375</f>
        <v>9820000</v>
      </c>
      <c r="H4375" s="94"/>
      <c r="I4375" s="94">
        <v>400435.19</v>
      </c>
      <c r="J4375" s="94">
        <v>66645.98</v>
      </c>
      <c r="K4375" s="18">
        <f>+G4375-H4375-I4375-J4375</f>
        <v>9352918.8300000001</v>
      </c>
      <c r="L4375" s="19">
        <f>+L4374-G4375</f>
        <v>98527333</v>
      </c>
      <c r="M4375" s="96"/>
      <c r="N4375" s="96"/>
      <c r="O4375" s="81"/>
      <c r="P4375" s="159">
        <v>56964361</v>
      </c>
      <c r="Q4375" s="225">
        <v>44593</v>
      </c>
      <c r="R4375" s="223">
        <v>491000</v>
      </c>
      <c r="S4375" s="223">
        <v>628500</v>
      </c>
      <c r="T4375" s="30"/>
      <c r="U4375" s="146"/>
      <c r="V4375" s="146"/>
    </row>
    <row r="4376" spans="1:22" s="31" customFormat="1" ht="15" hidden="1" x14ac:dyDescent="0.25">
      <c r="A4376" s="31">
        <v>1642022</v>
      </c>
      <c r="B4376" s="139" t="s">
        <v>4058</v>
      </c>
      <c r="C4376" s="294"/>
      <c r="D4376" s="210">
        <v>79440192</v>
      </c>
      <c r="E4376" s="210">
        <f>+D4376</f>
        <v>79440192</v>
      </c>
      <c r="F4376" s="210"/>
      <c r="G4376" s="210"/>
      <c r="H4376" s="210"/>
      <c r="I4376" s="210"/>
      <c r="J4376" s="210"/>
      <c r="K4376" s="210"/>
      <c r="L4376" s="141">
        <f>+D4376</f>
        <v>79440192</v>
      </c>
      <c r="M4376" s="142"/>
      <c r="N4376" s="142"/>
      <c r="P4376" s="126"/>
      <c r="Q4376" s="126"/>
      <c r="R4376" s="29"/>
      <c r="S4376" s="29"/>
      <c r="T4376" s="30"/>
    </row>
    <row r="4377" spans="1:22" s="31" customFormat="1" ht="15" hidden="1" x14ac:dyDescent="0.25">
      <c r="B4377" s="89">
        <v>44600.125</v>
      </c>
      <c r="C4377" s="284" t="s">
        <v>4059</v>
      </c>
      <c r="D4377" s="285"/>
      <c r="E4377" s="285">
        <v>6289015.2000000002</v>
      </c>
      <c r="F4377" s="201"/>
      <c r="G4377" s="201">
        <f>+E4377</f>
        <v>6289015.2000000002</v>
      </c>
      <c r="H4377" s="202">
        <v>150619.26999999999</v>
      </c>
      <c r="I4377" s="202">
        <v>0</v>
      </c>
      <c r="J4377" s="202">
        <v>35867.26</v>
      </c>
      <c r="K4377" s="72">
        <f>+G4377-H4377-I4377-J4377</f>
        <v>6102528.6700000009</v>
      </c>
      <c r="L4377" s="19">
        <f>+L4376-G4377</f>
        <v>73151176.799999997</v>
      </c>
      <c r="M4377" s="96"/>
      <c r="N4377" s="96"/>
      <c r="O4377" s="149">
        <f>+VLOOKUP(A4376,'[1]ANEXO 7 - PPTO VIG 2022'!$G$9:$AB$201,21,)-L4378</f>
        <v>0</v>
      </c>
      <c r="P4377" s="227">
        <v>4429802440</v>
      </c>
      <c r="Q4377" s="228">
        <v>44562</v>
      </c>
      <c r="R4377" s="229">
        <v>553200</v>
      </c>
      <c r="S4377" s="229">
        <v>752500</v>
      </c>
      <c r="T4377" s="30"/>
      <c r="U4377" s="146"/>
      <c r="V4377" s="146"/>
    </row>
    <row r="4378" spans="1:22" s="31" customFormat="1" ht="15" x14ac:dyDescent="0.25">
      <c r="B4378" s="215">
        <v>44634.083333333336</v>
      </c>
      <c r="C4378" s="92" t="s">
        <v>4060</v>
      </c>
      <c r="D4378" s="23"/>
      <c r="E4378" s="23">
        <v>9930024</v>
      </c>
      <c r="F4378" s="93"/>
      <c r="G4378" s="93">
        <f>+E4378</f>
        <v>9930024</v>
      </c>
      <c r="H4378" s="94">
        <v>237819.9</v>
      </c>
      <c r="I4378" s="94">
        <v>315322.61</v>
      </c>
      <c r="J4378" s="94">
        <v>56632.51</v>
      </c>
      <c r="K4378" s="18">
        <f>+G4378-H4378-I4378-J4378</f>
        <v>9320248.9800000004</v>
      </c>
      <c r="L4378" s="19">
        <f>+L4377-G4378</f>
        <v>63221152.799999997</v>
      </c>
      <c r="M4378" s="96"/>
      <c r="N4378" s="96"/>
      <c r="O4378" s="81"/>
      <c r="P4378" s="159">
        <v>4434865493</v>
      </c>
      <c r="Q4378" s="228">
        <v>44593</v>
      </c>
      <c r="R4378" s="229">
        <v>553200</v>
      </c>
      <c r="S4378" s="229">
        <v>752500</v>
      </c>
      <c r="T4378" s="30"/>
      <c r="U4378" s="146"/>
      <c r="V4378" s="146"/>
    </row>
    <row r="4379" spans="1:22" s="31" customFormat="1" ht="15" hidden="1" x14ac:dyDescent="0.25">
      <c r="A4379" s="31">
        <v>1702022</v>
      </c>
      <c r="B4379" s="139" t="s">
        <v>4061</v>
      </c>
      <c r="C4379" s="294"/>
      <c r="D4379" s="210">
        <v>80451583</v>
      </c>
      <c r="E4379" s="210">
        <f>+D4379</f>
        <v>80451583</v>
      </c>
      <c r="F4379" s="210"/>
      <c r="G4379" s="210"/>
      <c r="H4379" s="210"/>
      <c r="I4379" s="210"/>
      <c r="J4379" s="210"/>
      <c r="K4379" s="210"/>
      <c r="L4379" s="141">
        <f>+D4379</f>
        <v>80451583</v>
      </c>
      <c r="M4379" s="142"/>
      <c r="N4379" s="142"/>
      <c r="P4379" s="126"/>
      <c r="Q4379" s="126"/>
      <c r="R4379" s="29"/>
      <c r="S4379" s="29"/>
      <c r="T4379" s="30"/>
    </row>
    <row r="4380" spans="1:22" s="31" customFormat="1" ht="15" hidden="1" x14ac:dyDescent="0.25">
      <c r="B4380" s="89">
        <v>44601.125</v>
      </c>
      <c r="C4380" s="284" t="s">
        <v>4062</v>
      </c>
      <c r="D4380" s="285"/>
      <c r="E4380" s="285">
        <v>4367371</v>
      </c>
      <c r="F4380" s="201"/>
      <c r="G4380" s="201">
        <f>+E4380</f>
        <v>4367371</v>
      </c>
      <c r="H4380" s="202"/>
      <c r="I4380" s="202"/>
      <c r="J4380" s="202">
        <v>29640.3</v>
      </c>
      <c r="K4380" s="72">
        <f>+G4380-H4380-I4380-J4380</f>
        <v>4337730.7</v>
      </c>
      <c r="L4380" s="19">
        <f>+L4379-G4380</f>
        <v>76084212</v>
      </c>
      <c r="M4380" s="96"/>
      <c r="N4380" s="96"/>
      <c r="O4380" s="149">
        <f>+VLOOKUP(A4379,'[1]ANEXO 7 - PPTO VIG 2022'!$G$9:$AB$201,21,)-L4381</f>
        <v>0</v>
      </c>
      <c r="P4380" s="227">
        <v>9430254197</v>
      </c>
      <c r="Q4380" s="228">
        <v>44562</v>
      </c>
      <c r="R4380" s="229">
        <v>342500</v>
      </c>
      <c r="S4380" s="229">
        <v>438400</v>
      </c>
      <c r="T4380" s="30"/>
      <c r="U4380" s="146"/>
      <c r="V4380" s="146"/>
    </row>
    <row r="4381" spans="1:22" s="31" customFormat="1" ht="15" x14ac:dyDescent="0.25">
      <c r="B4381" s="215">
        <v>44628.125</v>
      </c>
      <c r="C4381" s="92" t="s">
        <v>4063</v>
      </c>
      <c r="D4381" s="23"/>
      <c r="E4381" s="23">
        <v>6895850</v>
      </c>
      <c r="F4381" s="93"/>
      <c r="G4381" s="93">
        <f>+E4381</f>
        <v>6895850</v>
      </c>
      <c r="H4381" s="94"/>
      <c r="I4381" s="94">
        <v>71320.97</v>
      </c>
      <c r="J4381" s="94">
        <v>46800.480000000003</v>
      </c>
      <c r="K4381" s="18">
        <f>+G4381-H4381-I4381-J4381</f>
        <v>6777728.5499999998</v>
      </c>
      <c r="L4381" s="19">
        <f>+L4380-G4381</f>
        <v>69188362</v>
      </c>
      <c r="M4381" s="96"/>
      <c r="N4381" s="96"/>
      <c r="O4381" s="81"/>
      <c r="P4381" s="227">
        <v>9430254369</v>
      </c>
      <c r="Q4381" s="228">
        <v>44593</v>
      </c>
      <c r="R4381" s="230">
        <v>542500</v>
      </c>
      <c r="S4381" s="230">
        <v>737800</v>
      </c>
      <c r="T4381" s="30"/>
      <c r="U4381" s="146"/>
      <c r="V4381" s="146"/>
    </row>
    <row r="4382" spans="1:22" s="31" customFormat="1" ht="15" hidden="1" x14ac:dyDescent="0.25">
      <c r="A4382" s="31">
        <v>1882022</v>
      </c>
      <c r="B4382" s="139" t="s">
        <v>4064</v>
      </c>
      <c r="C4382" s="294"/>
      <c r="D4382" s="210">
        <v>115519279</v>
      </c>
      <c r="E4382" s="210">
        <f>+D4382</f>
        <v>115519279</v>
      </c>
      <c r="F4382" s="210"/>
      <c r="G4382" s="210"/>
      <c r="H4382" s="210"/>
      <c r="I4382" s="210"/>
      <c r="J4382" s="210"/>
      <c r="K4382" s="210"/>
      <c r="L4382" s="141">
        <f>+D4382</f>
        <v>115519279</v>
      </c>
      <c r="M4382" s="142"/>
      <c r="N4382" s="142"/>
      <c r="P4382" s="126"/>
      <c r="Q4382" s="126"/>
      <c r="R4382" s="29"/>
      <c r="S4382" s="29"/>
      <c r="T4382" s="30"/>
    </row>
    <row r="4383" spans="1:22" s="31" customFormat="1" ht="15" hidden="1" x14ac:dyDescent="0.25">
      <c r="B4383" s="89">
        <v>44601.125</v>
      </c>
      <c r="C4383" s="284" t="s">
        <v>4065</v>
      </c>
      <c r="D4383" s="285"/>
      <c r="E4383" s="285">
        <v>4965012</v>
      </c>
      <c r="F4383" s="201"/>
      <c r="G4383" s="201">
        <f>+E4383</f>
        <v>4965012</v>
      </c>
      <c r="H4383" s="202"/>
      <c r="I4383" s="202"/>
      <c r="J4383" s="202">
        <v>33696.339999999997</v>
      </c>
      <c r="K4383" s="72">
        <f>+G4383-H4383-I4383-J4383</f>
        <v>4931315.66</v>
      </c>
      <c r="L4383" s="19">
        <f>+L4382-G4383</f>
        <v>110554267</v>
      </c>
      <c r="M4383" s="96"/>
      <c r="N4383" s="96"/>
      <c r="O4383" s="149">
        <f>+VLOOKUP(A4382,'[1]ANEXO 7 - PPTO VIG 2022'!$G$9:$AB$201,21,)-L4384</f>
        <v>0</v>
      </c>
      <c r="P4383" s="227">
        <v>7825285123</v>
      </c>
      <c r="Q4383" s="228">
        <v>44562</v>
      </c>
      <c r="R4383" s="229">
        <v>314500</v>
      </c>
      <c r="S4383" s="229">
        <v>402600</v>
      </c>
      <c r="T4383" s="30"/>
      <c r="U4383" s="146"/>
      <c r="V4383" s="146"/>
    </row>
    <row r="4384" spans="1:22" s="31" customFormat="1" ht="15" x14ac:dyDescent="0.25">
      <c r="B4384" s="100">
        <v>44638.083333333336</v>
      </c>
      <c r="C4384" s="92" t="s">
        <v>4066</v>
      </c>
      <c r="D4384" s="23"/>
      <c r="E4384" s="23">
        <v>9930024</v>
      </c>
      <c r="F4384" s="93"/>
      <c r="G4384" s="93">
        <f>+E4384</f>
        <v>9930024</v>
      </c>
      <c r="H4384" s="94"/>
      <c r="I4384" s="94">
        <v>418553.75</v>
      </c>
      <c r="J4384" s="94">
        <v>67392.69</v>
      </c>
      <c r="K4384" s="18">
        <f>+G4384-H4384-I4384-J4384</f>
        <v>9444077.5600000005</v>
      </c>
      <c r="L4384" s="19">
        <f>+L4383-G4384</f>
        <v>100624243</v>
      </c>
      <c r="M4384" s="96"/>
      <c r="N4384" s="96"/>
      <c r="O4384" s="81"/>
      <c r="P4384" s="227">
        <v>7829071950</v>
      </c>
      <c r="Q4384" s="228">
        <v>44593</v>
      </c>
      <c r="R4384" s="229">
        <v>497500</v>
      </c>
      <c r="S4384" s="229">
        <v>636800</v>
      </c>
      <c r="T4384" s="30"/>
      <c r="U4384" s="146"/>
      <c r="V4384" s="146"/>
    </row>
    <row r="4385" spans="1:22" s="31" customFormat="1" ht="15" hidden="1" x14ac:dyDescent="0.25">
      <c r="A4385" s="31">
        <v>3442022</v>
      </c>
      <c r="B4385" s="139" t="s">
        <v>4067</v>
      </c>
      <c r="C4385" s="294"/>
      <c r="D4385" s="210">
        <v>35424443</v>
      </c>
      <c r="E4385" s="210">
        <f>+D4385</f>
        <v>35424443</v>
      </c>
      <c r="F4385" s="210"/>
      <c r="G4385" s="210"/>
      <c r="H4385" s="210"/>
      <c r="I4385" s="210"/>
      <c r="J4385" s="210"/>
      <c r="K4385" s="210"/>
      <c r="L4385" s="141">
        <f>+D4385</f>
        <v>35424443</v>
      </c>
      <c r="M4385" s="142"/>
      <c r="N4385" s="142"/>
      <c r="P4385" s="126"/>
      <c r="Q4385" s="126"/>
      <c r="R4385" s="29"/>
      <c r="S4385" s="29"/>
      <c r="T4385" s="30"/>
    </row>
    <row r="4386" spans="1:22" s="31" customFormat="1" ht="15" hidden="1" x14ac:dyDescent="0.25">
      <c r="B4386" s="89">
        <v>44601.125</v>
      </c>
      <c r="C4386" s="284" t="s">
        <v>4068</v>
      </c>
      <c r="D4386" s="285"/>
      <c r="E4386" s="285">
        <v>1235736</v>
      </c>
      <c r="F4386" s="201"/>
      <c r="G4386" s="201">
        <f>+E4386</f>
        <v>1235736</v>
      </c>
      <c r="H4386" s="202"/>
      <c r="I4386" s="202"/>
      <c r="J4386" s="202">
        <v>8386.64</v>
      </c>
      <c r="K4386" s="72">
        <f>+G4386-H4386-I4386-J4386</f>
        <v>1227349.3600000001</v>
      </c>
      <c r="L4386" s="19">
        <f>+L4385-G4386</f>
        <v>34188707</v>
      </c>
      <c r="M4386" s="96"/>
      <c r="N4386" s="96"/>
      <c r="O4386" s="149">
        <f>+VLOOKUP(A4385,'[1]ANEXO 7 - PPTO VIG 2022'!$G$9:$AB$201,21,)-L4387</f>
        <v>0</v>
      </c>
      <c r="P4386" s="227">
        <v>22445666</v>
      </c>
      <c r="Q4386" s="228">
        <v>44562</v>
      </c>
      <c r="R4386" s="229">
        <v>154500</v>
      </c>
      <c r="S4386" s="229">
        <v>197800</v>
      </c>
      <c r="T4386" s="30"/>
      <c r="U4386" s="146"/>
      <c r="V4386" s="146"/>
    </row>
    <row r="4387" spans="1:22" s="31" customFormat="1" ht="15" x14ac:dyDescent="0.25">
      <c r="B4387" s="215">
        <v>44638.083333333336</v>
      </c>
      <c r="C4387" s="92" t="s">
        <v>4069</v>
      </c>
      <c r="D4387" s="23"/>
      <c r="E4387" s="23">
        <v>3089341</v>
      </c>
      <c r="F4387" s="93"/>
      <c r="G4387" s="93">
        <f>+E4387</f>
        <v>3089341</v>
      </c>
      <c r="H4387" s="94"/>
      <c r="I4387" s="94"/>
      <c r="J4387" s="94">
        <v>20966.62</v>
      </c>
      <c r="K4387" s="18">
        <f>+G4387-H4387-I4387-J4387</f>
        <v>3068374.38</v>
      </c>
      <c r="L4387" s="19">
        <f>+L4386-G4387</f>
        <v>31099366</v>
      </c>
      <c r="M4387" s="96"/>
      <c r="N4387" s="96"/>
      <c r="O4387" s="81"/>
      <c r="P4387" s="227">
        <v>22455224</v>
      </c>
      <c r="Q4387" s="228">
        <v>44593</v>
      </c>
      <c r="R4387" s="229">
        <v>154500</v>
      </c>
      <c r="S4387" s="229">
        <v>197800</v>
      </c>
      <c r="T4387" s="30"/>
      <c r="U4387" s="146"/>
      <c r="V4387" s="146"/>
    </row>
    <row r="4388" spans="1:22" s="31" customFormat="1" ht="15" hidden="1" x14ac:dyDescent="0.25">
      <c r="A4388" s="31">
        <v>3492022</v>
      </c>
      <c r="B4388" s="139" t="s">
        <v>4070</v>
      </c>
      <c r="C4388" s="294"/>
      <c r="D4388" s="210">
        <v>77012853</v>
      </c>
      <c r="E4388" s="210">
        <f>+D4388</f>
        <v>77012853</v>
      </c>
      <c r="F4388" s="210"/>
      <c r="G4388" s="210"/>
      <c r="H4388" s="210"/>
      <c r="I4388" s="210"/>
      <c r="J4388" s="210"/>
      <c r="K4388" s="210"/>
      <c r="L4388" s="141">
        <f>+D4388</f>
        <v>77012853</v>
      </c>
      <c r="M4388" s="142"/>
      <c r="N4388" s="142"/>
      <c r="P4388" s="126"/>
      <c r="Q4388" s="126"/>
      <c r="R4388" s="29"/>
      <c r="S4388" s="29"/>
      <c r="T4388" s="30"/>
    </row>
    <row r="4389" spans="1:22" s="31" customFormat="1" ht="15" hidden="1" x14ac:dyDescent="0.25">
      <c r="B4389" s="89">
        <v>44601.125</v>
      </c>
      <c r="C4389" s="284" t="s">
        <v>4071</v>
      </c>
      <c r="D4389" s="285"/>
      <c r="E4389" s="285">
        <v>1544670</v>
      </c>
      <c r="F4389" s="201"/>
      <c r="G4389" s="201">
        <f>+E4389</f>
        <v>1544670</v>
      </c>
      <c r="H4389" s="202"/>
      <c r="I4389" s="202"/>
      <c r="J4389" s="202">
        <v>11240.56</v>
      </c>
      <c r="K4389" s="72">
        <f>+G4389-H4389-I4389-J4389</f>
        <v>1533429.44</v>
      </c>
      <c r="L4389" s="19">
        <f>+L4388-G4389</f>
        <v>75468183</v>
      </c>
      <c r="M4389" s="96"/>
      <c r="N4389" s="96"/>
      <c r="O4389" s="149">
        <f>+VLOOKUP(A4388,'[1]ANEXO 7 - PPTO VIG 2022'!$G$9:$AB$201,21,)-L4390</f>
        <v>0</v>
      </c>
      <c r="P4389" s="227">
        <v>9430355935</v>
      </c>
      <c r="Q4389" s="228">
        <v>44562</v>
      </c>
      <c r="R4389" s="229">
        <v>125000</v>
      </c>
      <c r="S4389" s="229">
        <v>0</v>
      </c>
      <c r="T4389" s="30"/>
      <c r="U4389" s="146"/>
      <c r="V4389" s="146"/>
    </row>
    <row r="4390" spans="1:22" s="31" customFormat="1" ht="15" x14ac:dyDescent="0.25">
      <c r="B4390" s="215">
        <v>44629.125</v>
      </c>
      <c r="C4390" s="92" t="s">
        <v>4072</v>
      </c>
      <c r="D4390" s="23"/>
      <c r="E4390" s="23">
        <v>6620016</v>
      </c>
      <c r="F4390" s="93"/>
      <c r="G4390" s="93">
        <f>+E4390</f>
        <v>6620016</v>
      </c>
      <c r="H4390" s="94"/>
      <c r="I4390" s="94">
        <v>208231.71</v>
      </c>
      <c r="J4390" s="94">
        <v>48173.86</v>
      </c>
      <c r="K4390" s="18">
        <f>+G4390-H4390-I4390-J4390</f>
        <v>6363610.4299999997</v>
      </c>
      <c r="L4390" s="19">
        <f>+L4389-G4390</f>
        <v>68848167</v>
      </c>
      <c r="M4390" s="96"/>
      <c r="N4390" s="96"/>
      <c r="O4390" s="81"/>
      <c r="P4390" s="227">
        <v>22682891</v>
      </c>
      <c r="Q4390" s="228">
        <v>44593</v>
      </c>
      <c r="R4390" s="229">
        <v>331100</v>
      </c>
      <c r="S4390" s="229">
        <v>0</v>
      </c>
      <c r="T4390" s="30"/>
      <c r="U4390" s="146"/>
      <c r="V4390" s="146"/>
    </row>
    <row r="4391" spans="1:22" s="31" customFormat="1" ht="15" hidden="1" x14ac:dyDescent="0.25">
      <c r="A4391" s="31">
        <v>3952022</v>
      </c>
      <c r="B4391" s="139" t="s">
        <v>4073</v>
      </c>
      <c r="C4391" s="294"/>
      <c r="D4391" s="210">
        <v>39720096</v>
      </c>
      <c r="E4391" s="210">
        <f>+D4391</f>
        <v>39720096</v>
      </c>
      <c r="F4391" s="210"/>
      <c r="G4391" s="210"/>
      <c r="H4391" s="210"/>
      <c r="I4391" s="210"/>
      <c r="J4391" s="210"/>
      <c r="K4391" s="210"/>
      <c r="L4391" s="141">
        <f>+D4391</f>
        <v>39720096</v>
      </c>
      <c r="M4391" s="142"/>
      <c r="N4391" s="142"/>
      <c r="P4391" s="126"/>
      <c r="Q4391" s="126"/>
      <c r="R4391" s="29"/>
      <c r="S4391" s="29"/>
      <c r="T4391" s="30"/>
    </row>
    <row r="4392" spans="1:22" s="31" customFormat="1" ht="15" hidden="1" x14ac:dyDescent="0.25">
      <c r="B4392" s="89">
        <v>44601.125</v>
      </c>
      <c r="C4392" s="284" t="s">
        <v>4074</v>
      </c>
      <c r="D4392" s="285"/>
      <c r="E4392" s="285">
        <v>1324003</v>
      </c>
      <c r="F4392" s="201"/>
      <c r="G4392" s="201">
        <f>+E4392</f>
        <v>1324003</v>
      </c>
      <c r="H4392" s="202"/>
      <c r="I4392" s="202"/>
      <c r="J4392" s="202">
        <v>8985.69</v>
      </c>
      <c r="K4392" s="72">
        <f>+G4392-H4392-I4392-J4392</f>
        <v>1315017.31</v>
      </c>
      <c r="L4392" s="19">
        <f>+L4391-G4392</f>
        <v>38396093</v>
      </c>
      <c r="M4392" s="96"/>
      <c r="N4392" s="96"/>
      <c r="O4392" s="149">
        <f>+VLOOKUP(A4391,'[1]ANEXO 7 - PPTO VIG 2022'!$G$9:$AB$201,21,)-L4393</f>
        <v>0</v>
      </c>
      <c r="P4392" s="227">
        <v>56377748</v>
      </c>
      <c r="Q4392" s="228">
        <v>44562</v>
      </c>
      <c r="R4392" s="229">
        <v>425000</v>
      </c>
      <c r="S4392" s="229">
        <v>544000</v>
      </c>
      <c r="T4392" s="30"/>
      <c r="U4392" s="146"/>
      <c r="V4392" s="146"/>
    </row>
    <row r="4393" spans="1:22" s="31" customFormat="1" ht="15" x14ac:dyDescent="0.25">
      <c r="B4393" s="215">
        <v>44629.125</v>
      </c>
      <c r="C4393" s="92" t="s">
        <v>4075</v>
      </c>
      <c r="D4393" s="23"/>
      <c r="E4393" s="23">
        <v>6620016</v>
      </c>
      <c r="F4393" s="93"/>
      <c r="G4393" s="93">
        <f>+E4393</f>
        <v>6620016</v>
      </c>
      <c r="H4393" s="94"/>
      <c r="I4393" s="94">
        <v>163044.84</v>
      </c>
      <c r="J4393" s="94">
        <v>50709.32</v>
      </c>
      <c r="K4393" s="18">
        <f>+G4393-H4393-I4393-J4393</f>
        <v>6406261.8399999999</v>
      </c>
      <c r="L4393" s="19">
        <f>+L4392-G4393</f>
        <v>31776077</v>
      </c>
      <c r="M4393" s="96"/>
      <c r="N4393" s="96"/>
      <c r="O4393" s="81"/>
      <c r="P4393" s="231">
        <v>56377748</v>
      </c>
      <c r="Q4393" s="232">
        <v>44562</v>
      </c>
      <c r="R4393" s="233">
        <v>425000</v>
      </c>
      <c r="S4393" s="233">
        <v>544000</v>
      </c>
      <c r="T4393" s="30"/>
      <c r="U4393" s="146"/>
      <c r="V4393" s="146"/>
    </row>
    <row r="4394" spans="1:22" s="31" customFormat="1" ht="15" hidden="1" x14ac:dyDescent="0.25">
      <c r="A4394" s="31">
        <v>422022</v>
      </c>
      <c r="B4394" s="139" t="s">
        <v>4076</v>
      </c>
      <c r="C4394" s="294"/>
      <c r="D4394" s="210">
        <v>28804423</v>
      </c>
      <c r="E4394" s="210">
        <f>+D4394</f>
        <v>28804423</v>
      </c>
      <c r="F4394" s="210"/>
      <c r="G4394" s="210"/>
      <c r="H4394" s="210"/>
      <c r="I4394" s="210"/>
      <c r="J4394" s="210"/>
      <c r="K4394" s="210"/>
      <c r="L4394" s="141">
        <f>+D4394</f>
        <v>28804423</v>
      </c>
      <c r="M4394" s="142"/>
      <c r="N4394" s="142"/>
      <c r="P4394" s="126"/>
      <c r="Q4394" s="126"/>
      <c r="R4394" s="29"/>
      <c r="S4394" s="29"/>
      <c r="T4394" s="30"/>
    </row>
    <row r="4395" spans="1:22" s="31" customFormat="1" ht="15" hidden="1" x14ac:dyDescent="0.25">
      <c r="B4395" s="89">
        <v>44606.125</v>
      </c>
      <c r="C4395" s="284" t="s">
        <v>4077</v>
      </c>
      <c r="D4395" s="285"/>
      <c r="E4395" s="285">
        <v>2022782.5</v>
      </c>
      <c r="F4395" s="201"/>
      <c r="G4395" s="201">
        <f>+E4395</f>
        <v>2022782.5</v>
      </c>
      <c r="H4395" s="202"/>
      <c r="I4395" s="202"/>
      <c r="J4395" s="202">
        <v>13728.14</v>
      </c>
      <c r="K4395" s="72">
        <f>+G4395-H4395-I4395-J4395</f>
        <v>2009054.36</v>
      </c>
      <c r="L4395" s="19">
        <f>+L4394-G4395</f>
        <v>26781640.5</v>
      </c>
      <c r="M4395" s="96"/>
      <c r="N4395" s="96"/>
      <c r="O4395" s="149">
        <f>+VLOOKUP(A4394,'[1]ANEXO 7 - PPTO VIG 2022'!$G$9:$AB$201,21,)-L4396</f>
        <v>0</v>
      </c>
      <c r="P4395" s="227">
        <v>9428785922</v>
      </c>
      <c r="Q4395" s="228">
        <v>44562</v>
      </c>
      <c r="R4395" s="229">
        <v>125000</v>
      </c>
      <c r="S4395" s="229">
        <v>160000</v>
      </c>
      <c r="T4395" s="30"/>
      <c r="U4395" s="146"/>
      <c r="V4395" s="146"/>
    </row>
    <row r="4396" spans="1:22" s="31" customFormat="1" ht="15" x14ac:dyDescent="0.25">
      <c r="B4396" s="100">
        <v>44634.083333333336</v>
      </c>
      <c r="C4396" s="92" t="s">
        <v>4078</v>
      </c>
      <c r="D4396" s="23"/>
      <c r="E4396" s="23">
        <v>2427339</v>
      </c>
      <c r="F4396" s="93"/>
      <c r="G4396" s="93">
        <f>+E4396</f>
        <v>2427339</v>
      </c>
      <c r="H4396" s="94"/>
      <c r="I4396" s="94"/>
      <c r="J4396" s="94">
        <v>16473.77</v>
      </c>
      <c r="K4396" s="18">
        <f>+G4396-H4396-I4396-J4396</f>
        <v>2410865.23</v>
      </c>
      <c r="L4396" s="19">
        <f>+L4395-G4396</f>
        <v>24354301.5</v>
      </c>
      <c r="M4396" s="96"/>
      <c r="N4396" s="96"/>
      <c r="O4396" s="81"/>
      <c r="P4396" s="227">
        <v>9429927986</v>
      </c>
      <c r="Q4396" s="228">
        <v>44593</v>
      </c>
      <c r="R4396" s="229">
        <v>125000</v>
      </c>
      <c r="S4396" s="229">
        <v>160000</v>
      </c>
      <c r="T4396" s="30"/>
      <c r="U4396" s="146"/>
      <c r="V4396" s="146"/>
    </row>
    <row r="4397" spans="1:22" s="31" customFormat="1" ht="15" hidden="1" x14ac:dyDescent="0.25">
      <c r="A4397" s="31">
        <v>572022</v>
      </c>
      <c r="B4397" s="139" t="s">
        <v>4079</v>
      </c>
      <c r="C4397" s="294"/>
      <c r="D4397" s="210">
        <v>98056000</v>
      </c>
      <c r="E4397" s="210">
        <f>+D4397</f>
        <v>98056000</v>
      </c>
      <c r="F4397" s="210"/>
      <c r="G4397" s="210"/>
      <c r="H4397" s="210"/>
      <c r="I4397" s="210"/>
      <c r="J4397" s="210"/>
      <c r="K4397" s="210"/>
      <c r="L4397" s="141">
        <f>+D4397</f>
        <v>98056000</v>
      </c>
      <c r="M4397" s="142"/>
      <c r="N4397" s="142"/>
      <c r="P4397" s="126"/>
      <c r="Q4397" s="126"/>
      <c r="R4397" s="29"/>
      <c r="S4397" s="29"/>
      <c r="T4397" s="30"/>
    </row>
    <row r="4398" spans="1:22" s="31" customFormat="1" ht="15" hidden="1" x14ac:dyDescent="0.25">
      <c r="B4398" s="89">
        <v>44606.125</v>
      </c>
      <c r="C4398" s="284" t="s">
        <v>4080</v>
      </c>
      <c r="D4398" s="285"/>
      <c r="E4398" s="285">
        <v>5768000</v>
      </c>
      <c r="F4398" s="201"/>
      <c r="G4398" s="201">
        <f>+E4398</f>
        <v>5768000</v>
      </c>
      <c r="H4398" s="202"/>
      <c r="I4398" s="202"/>
      <c r="J4398" s="202">
        <v>39146.03</v>
      </c>
      <c r="K4398" s="72">
        <f>+G4398-H4398-I4398-J4398</f>
        <v>5728853.9699999997</v>
      </c>
      <c r="L4398" s="19">
        <f>+L4397-G4398</f>
        <v>92288000</v>
      </c>
      <c r="M4398" s="96"/>
      <c r="N4398" s="96"/>
      <c r="O4398" s="149">
        <f>+VLOOKUP(A4397,'[1]ANEXO 7 - PPTO VIG 2022'!$G$9:$AB$201,21,)-L4399</f>
        <v>0</v>
      </c>
      <c r="P4398" s="231">
        <v>55329018</v>
      </c>
      <c r="Q4398" s="232">
        <v>44531</v>
      </c>
      <c r="R4398" s="233">
        <v>400000</v>
      </c>
      <c r="S4398" s="233">
        <v>512000</v>
      </c>
      <c r="T4398" s="30"/>
      <c r="U4398" s="146"/>
      <c r="V4398" s="146"/>
    </row>
    <row r="4399" spans="1:22" s="31" customFormat="1" ht="15" x14ac:dyDescent="0.25">
      <c r="B4399" s="215">
        <v>44628.125</v>
      </c>
      <c r="C4399" s="92" t="s">
        <v>4081</v>
      </c>
      <c r="D4399" s="23"/>
      <c r="E4399" s="23">
        <v>8240000</v>
      </c>
      <c r="F4399" s="93"/>
      <c r="G4399" s="93">
        <f>+E4399</f>
        <v>8240000</v>
      </c>
      <c r="H4399" s="94"/>
      <c r="I4399" s="94">
        <v>234483.73</v>
      </c>
      <c r="J4399" s="94">
        <v>55922.9</v>
      </c>
      <c r="K4399" s="18">
        <f>+G4399-H4399-I4399-J4399</f>
        <v>7949593.3699999992</v>
      </c>
      <c r="L4399" s="19">
        <f>+L4398-G4399</f>
        <v>84048000</v>
      </c>
      <c r="M4399" s="96"/>
      <c r="N4399" s="96"/>
      <c r="O4399" s="81"/>
      <c r="P4399" s="159">
        <v>56196933</v>
      </c>
      <c r="Q4399" s="228">
        <v>44562</v>
      </c>
      <c r="R4399" s="223">
        <v>412000</v>
      </c>
      <c r="S4399" s="223">
        <v>527400</v>
      </c>
      <c r="T4399" s="30"/>
      <c r="U4399" s="146"/>
      <c r="V4399" s="146"/>
    </row>
    <row r="4400" spans="1:22" s="31" customFormat="1" ht="15" hidden="1" x14ac:dyDescent="0.25">
      <c r="A4400" s="31">
        <v>1422022</v>
      </c>
      <c r="B4400" s="139" t="s">
        <v>4082</v>
      </c>
      <c r="C4400" s="294"/>
      <c r="D4400" s="210">
        <v>19350816</v>
      </c>
      <c r="E4400" s="210">
        <f>+D4400</f>
        <v>19350816</v>
      </c>
      <c r="F4400" s="210"/>
      <c r="G4400" s="210"/>
      <c r="H4400" s="210"/>
      <c r="I4400" s="210"/>
      <c r="J4400" s="210"/>
      <c r="K4400" s="210"/>
      <c r="L4400" s="141">
        <f>+D4400</f>
        <v>19350816</v>
      </c>
      <c r="M4400" s="142"/>
      <c r="N4400" s="142"/>
      <c r="P4400" s="126"/>
      <c r="Q4400" s="126"/>
      <c r="R4400" s="29"/>
      <c r="S4400" s="29"/>
      <c r="T4400" s="30"/>
    </row>
    <row r="4401" spans="1:22" s="31" customFormat="1" ht="15" hidden="1" x14ac:dyDescent="0.25">
      <c r="B4401" s="89">
        <v>44607.125</v>
      </c>
      <c r="C4401" s="284" t="s">
        <v>4083</v>
      </c>
      <c r="D4401" s="285"/>
      <c r="E4401" s="285">
        <v>1451311</v>
      </c>
      <c r="F4401" s="201"/>
      <c r="G4401" s="201">
        <f>+E4401</f>
        <v>1451311</v>
      </c>
      <c r="H4401" s="202"/>
      <c r="I4401" s="202"/>
      <c r="J4401" s="202">
        <v>9849.7000000000007</v>
      </c>
      <c r="K4401" s="72">
        <f>+G4401-H4401-I4401-J4401</f>
        <v>1441461.3</v>
      </c>
      <c r="L4401" s="19">
        <f>+L4400-G4401</f>
        <v>17899505</v>
      </c>
      <c r="M4401" s="96"/>
      <c r="N4401" s="96"/>
      <c r="O4401" s="149">
        <f>+VLOOKUP(A4400,'[1]ANEXO 7 - PPTO VIG 2022'!$G$9:$AB$201,21,)-L4402</f>
        <v>0</v>
      </c>
      <c r="P4401" s="234">
        <v>1043155894</v>
      </c>
      <c r="Q4401" s="235">
        <v>44562</v>
      </c>
      <c r="R4401" s="236">
        <v>125000</v>
      </c>
      <c r="S4401" s="236">
        <v>160000</v>
      </c>
      <c r="T4401" s="30"/>
      <c r="U4401" s="146"/>
      <c r="V4401" s="146"/>
    </row>
    <row r="4402" spans="1:22" s="31" customFormat="1" ht="15" x14ac:dyDescent="0.25">
      <c r="B4402" s="215">
        <v>44636.083333333336</v>
      </c>
      <c r="C4402" s="92" t="s">
        <v>4084</v>
      </c>
      <c r="D4402" s="23"/>
      <c r="E4402" s="23">
        <v>2418852</v>
      </c>
      <c r="F4402" s="93"/>
      <c r="G4402" s="93">
        <f>+E4402</f>
        <v>2418852</v>
      </c>
      <c r="H4402" s="94"/>
      <c r="I4402" s="94"/>
      <c r="J4402" s="94">
        <v>16416.169999999998</v>
      </c>
      <c r="K4402" s="18">
        <f>+G4402-H4402-I4402-J4402</f>
        <v>2402435.83</v>
      </c>
      <c r="L4402" s="19">
        <f>+L4401-G4402</f>
        <v>15480653</v>
      </c>
      <c r="M4402" s="96"/>
      <c r="N4402" s="96"/>
      <c r="O4402" s="81"/>
      <c r="P4402" s="159">
        <v>1043265487</v>
      </c>
      <c r="Q4402" s="235">
        <v>44593</v>
      </c>
      <c r="R4402" s="236">
        <v>125000</v>
      </c>
      <c r="S4402" s="236">
        <v>160000</v>
      </c>
      <c r="T4402" s="30"/>
      <c r="U4402" s="146"/>
      <c r="V4402" s="146"/>
    </row>
    <row r="4403" spans="1:22" s="31" customFormat="1" ht="15" hidden="1" x14ac:dyDescent="0.25">
      <c r="A4403" s="31">
        <v>1592022</v>
      </c>
      <c r="B4403" s="139" t="s">
        <v>4085</v>
      </c>
      <c r="C4403" s="294"/>
      <c r="D4403" s="210">
        <v>105205917</v>
      </c>
      <c r="E4403" s="210">
        <f>+D4403</f>
        <v>105205917</v>
      </c>
      <c r="F4403" s="210"/>
      <c r="G4403" s="210"/>
      <c r="H4403" s="210"/>
      <c r="I4403" s="210"/>
      <c r="J4403" s="210"/>
      <c r="K4403" s="210"/>
      <c r="L4403" s="141">
        <f>+D4403</f>
        <v>105205917</v>
      </c>
      <c r="M4403" s="142"/>
      <c r="N4403" s="142"/>
      <c r="P4403" s="126"/>
      <c r="Q4403" s="126"/>
      <c r="R4403" s="29"/>
      <c r="S4403" s="29"/>
      <c r="T4403" s="30"/>
    </row>
    <row r="4404" spans="1:22" s="31" customFormat="1" ht="15" hidden="1" x14ac:dyDescent="0.25">
      <c r="B4404" s="89">
        <v>44606.125</v>
      </c>
      <c r="C4404" s="284" t="s">
        <v>4086</v>
      </c>
      <c r="D4404" s="285"/>
      <c r="E4404" s="285">
        <v>5410590</v>
      </c>
      <c r="F4404" s="201"/>
      <c r="G4404" s="201">
        <f>+E4404</f>
        <v>5410590</v>
      </c>
      <c r="H4404" s="202"/>
      <c r="I4404" s="202"/>
      <c r="J4404" s="202">
        <v>36720.379999999997</v>
      </c>
      <c r="K4404" s="72">
        <f>+G4404-H4404-I4404-J4404</f>
        <v>5373869.6200000001</v>
      </c>
      <c r="L4404" s="19">
        <f>+L4403-G4404</f>
        <v>99795327</v>
      </c>
      <c r="M4404" s="96"/>
      <c r="N4404" s="96"/>
      <c r="O4404" s="149">
        <f>+VLOOKUP(A4403,'[1]ANEXO 7 - PPTO VIG 2022'!$G$9:$AB$201,21,)-L4405</f>
        <v>0</v>
      </c>
      <c r="P4404" s="234">
        <v>1043210875</v>
      </c>
      <c r="Q4404" s="235">
        <v>44562</v>
      </c>
      <c r="R4404" s="236">
        <v>275000</v>
      </c>
      <c r="S4404" s="236">
        <v>352000</v>
      </c>
      <c r="T4404" s="30"/>
      <c r="U4404" s="146"/>
      <c r="V4404" s="146"/>
    </row>
    <row r="4405" spans="1:22" s="31" customFormat="1" ht="15" x14ac:dyDescent="0.25">
      <c r="B4405" s="215">
        <v>44638.083333333336</v>
      </c>
      <c r="C4405" s="92" t="s">
        <v>4087</v>
      </c>
      <c r="D4405" s="23"/>
      <c r="E4405" s="23">
        <v>9017650</v>
      </c>
      <c r="F4405" s="93"/>
      <c r="G4405" s="93">
        <f>+E4405</f>
        <v>9017650</v>
      </c>
      <c r="H4405" s="94"/>
      <c r="I4405" s="94">
        <v>457726.94</v>
      </c>
      <c r="J4405" s="94">
        <v>61200.63</v>
      </c>
      <c r="K4405" s="18">
        <f>+G4405-H4405-I4405-J4405</f>
        <v>8498722.4299999997</v>
      </c>
      <c r="L4405" s="19">
        <f>+L4404-G4405</f>
        <v>90777677</v>
      </c>
      <c r="M4405" s="96"/>
      <c r="N4405" s="96"/>
      <c r="O4405" s="81"/>
      <c r="P4405" s="234">
        <v>1043210666</v>
      </c>
      <c r="Q4405" s="235">
        <v>44593</v>
      </c>
      <c r="R4405" s="236">
        <v>450900</v>
      </c>
      <c r="S4405" s="236">
        <v>577200</v>
      </c>
      <c r="T4405" s="30"/>
      <c r="U4405" s="146"/>
      <c r="V4405" s="146"/>
    </row>
    <row r="4406" spans="1:22" s="31" customFormat="1" ht="15" hidden="1" x14ac:dyDescent="0.25">
      <c r="A4406" s="31">
        <v>2092022</v>
      </c>
      <c r="B4406" s="139" t="s">
        <v>4088</v>
      </c>
      <c r="C4406" s="294"/>
      <c r="D4406" s="210">
        <v>66200160</v>
      </c>
      <c r="E4406" s="210">
        <f>+D4406</f>
        <v>66200160</v>
      </c>
      <c r="F4406" s="210"/>
      <c r="G4406" s="210"/>
      <c r="H4406" s="210"/>
      <c r="I4406" s="210"/>
      <c r="J4406" s="210"/>
      <c r="K4406" s="210"/>
      <c r="L4406" s="141">
        <f>+D4406</f>
        <v>66200160</v>
      </c>
      <c r="M4406" s="142"/>
      <c r="N4406" s="142"/>
      <c r="P4406" s="126"/>
      <c r="Q4406" s="126"/>
      <c r="R4406" s="29"/>
      <c r="S4406" s="29"/>
      <c r="T4406" s="30"/>
    </row>
    <row r="4407" spans="1:22" s="31" customFormat="1" ht="15" hidden="1" x14ac:dyDescent="0.25">
      <c r="B4407" s="89">
        <v>44606.125</v>
      </c>
      <c r="C4407" s="284" t="s">
        <v>4089</v>
      </c>
      <c r="D4407" s="285"/>
      <c r="E4407" s="285">
        <v>4965012</v>
      </c>
      <c r="F4407" s="201"/>
      <c r="G4407" s="201">
        <f>+E4407</f>
        <v>4965012</v>
      </c>
      <c r="H4407" s="202"/>
      <c r="I4407" s="202"/>
      <c r="J4407" s="202">
        <v>33936.19</v>
      </c>
      <c r="K4407" s="72">
        <f>+G4407-H4407-I4407-J4407</f>
        <v>4931075.8099999996</v>
      </c>
      <c r="L4407" s="19">
        <f>+L4406-G4407</f>
        <v>61235148</v>
      </c>
      <c r="M4407" s="96"/>
      <c r="N4407" s="96"/>
      <c r="O4407" s="149">
        <f>+VLOOKUP(A4406,'[1]ANEXO 7 - PPTO VIG 2022'!$G$9:$AB$201,21,)-L4408</f>
        <v>0</v>
      </c>
      <c r="P4407" s="234">
        <v>9429834340</v>
      </c>
      <c r="Q4407" s="235">
        <v>44562</v>
      </c>
      <c r="R4407" s="236">
        <v>234500</v>
      </c>
      <c r="S4407" s="236">
        <v>300200</v>
      </c>
      <c r="T4407" s="30"/>
      <c r="U4407" s="146"/>
      <c r="V4407" s="146"/>
    </row>
    <row r="4408" spans="1:22" s="31" customFormat="1" ht="15" x14ac:dyDescent="0.25">
      <c r="B4408" s="215">
        <v>44636.083333333336</v>
      </c>
      <c r="C4408" s="92" t="s">
        <v>4090</v>
      </c>
      <c r="D4408" s="23"/>
      <c r="E4408" s="23">
        <v>8275020</v>
      </c>
      <c r="F4408" s="93"/>
      <c r="G4408" s="93">
        <f>+E4408</f>
        <v>8275020</v>
      </c>
      <c r="H4408" s="94"/>
      <c r="I4408" s="94">
        <v>238406.16</v>
      </c>
      <c r="J4408" s="94">
        <v>56160.57</v>
      </c>
      <c r="K4408" s="18">
        <f>+G4408-H4408-I4408-J4408</f>
        <v>7980453.2699999996</v>
      </c>
      <c r="L4408" s="19">
        <f>+L4407-G4408</f>
        <v>52960128</v>
      </c>
      <c r="M4408" s="96"/>
      <c r="N4408" s="96"/>
      <c r="O4408" s="81"/>
      <c r="P4408" s="234">
        <v>9430927614</v>
      </c>
      <c r="Q4408" s="235">
        <v>44593</v>
      </c>
      <c r="R4408" s="236">
        <v>413800</v>
      </c>
      <c r="S4408" s="236">
        <v>529700</v>
      </c>
      <c r="T4408" s="30"/>
      <c r="U4408" s="146"/>
      <c r="V4408" s="146"/>
    </row>
    <row r="4409" spans="1:22" s="31" customFormat="1" ht="15" hidden="1" x14ac:dyDescent="0.25">
      <c r="A4409" s="31">
        <v>2722022</v>
      </c>
      <c r="B4409" s="139" t="s">
        <v>4091</v>
      </c>
      <c r="C4409" s="294"/>
      <c r="D4409" s="210">
        <v>35815984</v>
      </c>
      <c r="E4409" s="210">
        <f>+D4409</f>
        <v>35815984</v>
      </c>
      <c r="F4409" s="210"/>
      <c r="G4409" s="210"/>
      <c r="H4409" s="210"/>
      <c r="I4409" s="210"/>
      <c r="J4409" s="210"/>
      <c r="K4409" s="210"/>
      <c r="L4409" s="141">
        <f>+D4409</f>
        <v>35815984</v>
      </c>
      <c r="M4409" s="142"/>
      <c r="N4409" s="142"/>
      <c r="P4409" s="126"/>
      <c r="Q4409" s="126"/>
      <c r="R4409" s="29"/>
      <c r="S4409" s="29"/>
      <c r="T4409" s="30"/>
    </row>
    <row r="4410" spans="1:22" s="31" customFormat="1" ht="15" hidden="1" x14ac:dyDescent="0.25">
      <c r="B4410" s="89">
        <v>44606.125</v>
      </c>
      <c r="C4410" s="284" t="s">
        <v>4092</v>
      </c>
      <c r="D4410" s="285"/>
      <c r="E4410" s="285">
        <v>2238499</v>
      </c>
      <c r="F4410" s="201"/>
      <c r="G4410" s="201">
        <f>+E4410</f>
        <v>2238499</v>
      </c>
      <c r="H4410" s="202"/>
      <c r="I4410" s="202"/>
      <c r="J4410" s="202">
        <v>15192.16</v>
      </c>
      <c r="K4410" s="72">
        <f>+G4410-H4410-I4410-J4410</f>
        <v>2223306.84</v>
      </c>
      <c r="L4410" s="19">
        <f>+L4409-G4410</f>
        <v>33577485</v>
      </c>
      <c r="M4410" s="96"/>
      <c r="N4410" s="96"/>
      <c r="O4410" s="149">
        <f>+VLOOKUP(A4409,'[1]ANEXO 7 - PPTO VIG 2022'!$G$9:$AB$201,21,)-L4411</f>
        <v>0</v>
      </c>
      <c r="P4410" s="231">
        <v>55319336</v>
      </c>
      <c r="Q4410" s="232">
        <v>44531</v>
      </c>
      <c r="R4410" s="233">
        <v>217400</v>
      </c>
      <c r="S4410" s="233">
        <v>278200</v>
      </c>
      <c r="T4410" s="30"/>
      <c r="U4410" s="146"/>
      <c r="V4410" s="146"/>
    </row>
    <row r="4411" spans="1:22" s="31" customFormat="1" ht="15" x14ac:dyDescent="0.25">
      <c r="B4411" s="215">
        <v>44629.125</v>
      </c>
      <c r="C4411" s="92" t="s">
        <v>4093</v>
      </c>
      <c r="D4411" s="23"/>
      <c r="E4411" s="23">
        <v>4476998</v>
      </c>
      <c r="F4411" s="93"/>
      <c r="G4411" s="93">
        <f>+E4411</f>
        <v>4476998</v>
      </c>
      <c r="H4411" s="94"/>
      <c r="I4411" s="94"/>
      <c r="J4411" s="94">
        <v>30384.31</v>
      </c>
      <c r="K4411" s="18">
        <f>+G4411-H4411-I4411-J4411</f>
        <v>4446613.6900000004</v>
      </c>
      <c r="L4411" s="19">
        <f>+L4410-G4411</f>
        <v>29100487</v>
      </c>
      <c r="M4411" s="96"/>
      <c r="N4411" s="96"/>
      <c r="O4411" s="81"/>
      <c r="P4411" s="234">
        <v>56960988</v>
      </c>
      <c r="Q4411" s="235">
        <v>44562</v>
      </c>
      <c r="R4411" s="237">
        <v>223900</v>
      </c>
      <c r="S4411" s="237">
        <v>286600</v>
      </c>
      <c r="T4411" s="30"/>
      <c r="U4411" s="146"/>
      <c r="V4411" s="146"/>
    </row>
    <row r="4412" spans="1:22" s="31" customFormat="1" ht="15" hidden="1" x14ac:dyDescent="0.25">
      <c r="A4412" s="31">
        <v>3022022</v>
      </c>
      <c r="B4412" s="139" t="s">
        <v>4094</v>
      </c>
      <c r="C4412" s="294"/>
      <c r="D4412" s="210">
        <v>46800000</v>
      </c>
      <c r="E4412" s="210">
        <f>+D4412</f>
        <v>46800000</v>
      </c>
      <c r="F4412" s="210"/>
      <c r="G4412" s="210"/>
      <c r="H4412" s="210"/>
      <c r="I4412" s="210"/>
      <c r="J4412" s="210"/>
      <c r="K4412" s="210"/>
      <c r="L4412" s="141">
        <f>+D4412</f>
        <v>46800000</v>
      </c>
      <c r="M4412" s="142"/>
      <c r="N4412" s="142"/>
      <c r="P4412" s="126"/>
      <c r="Q4412" s="126"/>
      <c r="R4412" s="29"/>
      <c r="S4412" s="29"/>
      <c r="T4412" s="30"/>
    </row>
    <row r="4413" spans="1:22" s="31" customFormat="1" ht="15" hidden="1" x14ac:dyDescent="0.25">
      <c r="B4413" s="89">
        <v>44607.125</v>
      </c>
      <c r="C4413" s="284" t="s">
        <v>4095</v>
      </c>
      <c r="D4413" s="285"/>
      <c r="E4413" s="285">
        <v>1733333</v>
      </c>
      <c r="F4413" s="201"/>
      <c r="G4413" s="201">
        <f>+E4413</f>
        <v>1733333</v>
      </c>
      <c r="H4413" s="202"/>
      <c r="I4413" s="202"/>
      <c r="J4413" s="202">
        <v>12330.55</v>
      </c>
      <c r="K4413" s="72">
        <f>+G4413-H4413-I4413-J4413</f>
        <v>1721002.45</v>
      </c>
      <c r="L4413" s="19">
        <f>+L4412-G4413</f>
        <v>45066667</v>
      </c>
      <c r="M4413" s="96"/>
      <c r="N4413" s="96"/>
      <c r="O4413" s="149">
        <f>+VLOOKUP(A4412,'[1]ANEXO 7 - PPTO VIG 2022'!$G$9:$AB$201,21,)-L4414</f>
        <v>0</v>
      </c>
      <c r="P4413" s="234">
        <v>56292368</v>
      </c>
      <c r="Q4413" s="235">
        <v>44562</v>
      </c>
      <c r="R4413" s="236">
        <v>54200</v>
      </c>
      <c r="S4413" s="236">
        <v>69400</v>
      </c>
      <c r="T4413" s="30"/>
      <c r="U4413" s="146"/>
      <c r="V4413" s="146"/>
    </row>
    <row r="4414" spans="1:22" s="31" customFormat="1" ht="15" x14ac:dyDescent="0.25">
      <c r="B4414" s="215">
        <v>44628.125</v>
      </c>
      <c r="C4414" s="92" t="s">
        <v>4096</v>
      </c>
      <c r="D4414" s="23"/>
      <c r="E4414" s="23">
        <v>4000000</v>
      </c>
      <c r="F4414" s="93"/>
      <c r="G4414" s="93">
        <f>+E4414</f>
        <v>4000000</v>
      </c>
      <c r="H4414" s="94"/>
      <c r="I4414" s="94"/>
      <c r="J4414" s="94">
        <v>30640</v>
      </c>
      <c r="K4414" s="18">
        <f>+G4414-H4414-I4414-J4414</f>
        <v>3969360</v>
      </c>
      <c r="L4414" s="19">
        <f>+L4413-G4414</f>
        <v>41066667</v>
      </c>
      <c r="M4414" s="96"/>
      <c r="N4414" s="96"/>
      <c r="O4414" s="81"/>
      <c r="P4414" s="234"/>
      <c r="Q4414" s="238"/>
      <c r="R4414" s="237"/>
      <c r="S4414" s="237"/>
      <c r="T4414" s="30"/>
      <c r="U4414" s="146"/>
      <c r="V4414" s="146"/>
    </row>
    <row r="4415" spans="1:22" s="31" customFormat="1" ht="15" hidden="1" x14ac:dyDescent="0.25">
      <c r="A4415" s="31">
        <v>3032022</v>
      </c>
      <c r="B4415" s="139" t="s">
        <v>4097</v>
      </c>
      <c r="C4415" s="294"/>
      <c r="D4415" s="210">
        <v>59410400</v>
      </c>
      <c r="E4415" s="210">
        <f>+D4415</f>
        <v>59410400</v>
      </c>
      <c r="F4415" s="210"/>
      <c r="G4415" s="210"/>
      <c r="H4415" s="210"/>
      <c r="I4415" s="210"/>
      <c r="J4415" s="210"/>
      <c r="K4415" s="210"/>
      <c r="L4415" s="141">
        <f>+D4415</f>
        <v>59410400</v>
      </c>
      <c r="M4415" s="142"/>
      <c r="N4415" s="142"/>
      <c r="P4415" s="126"/>
      <c r="Q4415" s="126"/>
      <c r="R4415" s="29"/>
      <c r="S4415" s="29"/>
      <c r="T4415" s="30"/>
    </row>
    <row r="4416" spans="1:22" s="31" customFormat="1" ht="15" hidden="1" x14ac:dyDescent="0.25">
      <c r="B4416" s="89">
        <v>44608.125</v>
      </c>
      <c r="C4416" s="92" t="s">
        <v>4098</v>
      </c>
      <c r="D4416" s="23"/>
      <c r="E4416" s="23">
        <v>2774450.4000000004</v>
      </c>
      <c r="F4416" s="93"/>
      <c r="G4416" s="93">
        <f>+E4416</f>
        <v>2774450.4000000004</v>
      </c>
      <c r="H4416" s="94"/>
      <c r="I4416" s="94"/>
      <c r="J4416" s="94">
        <v>21840.22</v>
      </c>
      <c r="K4416" s="18">
        <f>+G4416-H4416-I4416-J4416</f>
        <v>2752610.18</v>
      </c>
      <c r="L4416" s="19">
        <f>+L4415-G4416</f>
        <v>56635949.600000001</v>
      </c>
      <c r="M4416" s="96"/>
      <c r="N4416" s="96"/>
      <c r="O4416" s="149">
        <f>+VLOOKUP(A4415,'[1]ANEXO 7 - PPTO VIG 2022'!$G$9:$AB$201,21,)-L4419</f>
        <v>0</v>
      </c>
      <c r="P4416" s="234">
        <v>55377369</v>
      </c>
      <c r="Q4416" s="235">
        <v>44531</v>
      </c>
      <c r="R4416" s="236">
        <v>625000</v>
      </c>
      <c r="S4416" s="236">
        <v>850000</v>
      </c>
      <c r="T4416" s="30"/>
      <c r="U4416" s="146"/>
      <c r="V4416" s="146"/>
    </row>
    <row r="4417" spans="1:22" s="31" customFormat="1" ht="15" hidden="1" x14ac:dyDescent="0.25">
      <c r="B4417" s="215">
        <v>44608.125</v>
      </c>
      <c r="C4417" s="216" t="s">
        <v>4098</v>
      </c>
      <c r="D4417" s="217"/>
      <c r="E4417" s="217">
        <v>443612.6</v>
      </c>
      <c r="F4417" s="219"/>
      <c r="G4417" s="219">
        <f>+E4417</f>
        <v>443612.6</v>
      </c>
      <c r="H4417" s="218"/>
      <c r="I4417" s="218"/>
      <c r="J4417" s="202"/>
      <c r="K4417" s="72">
        <f>+G4417-H4417-I4417-J4417</f>
        <v>443612.6</v>
      </c>
      <c r="L4417" s="19">
        <f>+L4416-G4417</f>
        <v>56192337</v>
      </c>
      <c r="M4417" s="96"/>
      <c r="N4417" s="96"/>
      <c r="O4417" s="81"/>
      <c r="P4417" s="234"/>
      <c r="Q4417" s="238"/>
      <c r="R4417" s="237"/>
      <c r="S4417" s="237"/>
      <c r="T4417" s="30"/>
      <c r="U4417" s="146"/>
      <c r="V4417" s="146"/>
    </row>
    <row r="4418" spans="1:22" s="31" customFormat="1" ht="15" x14ac:dyDescent="0.25">
      <c r="B4418" s="215">
        <v>44629.125</v>
      </c>
      <c r="C4418" s="92" t="s">
        <v>4099</v>
      </c>
      <c r="D4418" s="23"/>
      <c r="E4418" s="23">
        <v>6141040</v>
      </c>
      <c r="F4418" s="93"/>
      <c r="G4418" s="93">
        <f t="shared" ref="G4418:G4419" si="841">+E4418</f>
        <v>6141040</v>
      </c>
      <c r="H4418" s="94"/>
      <c r="I4418" s="94">
        <v>243683.05</v>
      </c>
      <c r="J4418" s="94">
        <v>50400.52</v>
      </c>
      <c r="K4418" s="18">
        <f t="shared" ref="K4418:K4419" si="842">+G4418-H4418-I4418-J4418</f>
        <v>5846956.4300000006</v>
      </c>
      <c r="L4418" s="19">
        <f t="shared" ref="L4418:L4419" si="843">+L4417-G4418</f>
        <v>50051297</v>
      </c>
      <c r="M4418" s="96"/>
      <c r="N4418" s="96"/>
      <c r="O4418" s="81"/>
      <c r="P4418" s="234">
        <v>56494298</v>
      </c>
      <c r="Q4418" s="235">
        <v>44562</v>
      </c>
      <c r="R4418" s="236">
        <v>625000</v>
      </c>
      <c r="S4418" s="236">
        <v>850000</v>
      </c>
      <c r="T4418" s="30"/>
      <c r="U4418" s="146"/>
      <c r="V4418" s="146"/>
    </row>
    <row r="4419" spans="1:22" s="31" customFormat="1" ht="15" x14ac:dyDescent="0.25">
      <c r="B4419" s="215">
        <v>44629.125</v>
      </c>
      <c r="C4419" s="92" t="s">
        <v>4099</v>
      </c>
      <c r="D4419" s="23"/>
      <c r="E4419" s="23">
        <v>1285260</v>
      </c>
      <c r="F4419" s="93"/>
      <c r="G4419" s="93">
        <f t="shared" si="841"/>
        <v>1285260</v>
      </c>
      <c r="H4419" s="94"/>
      <c r="I4419" s="94"/>
      <c r="J4419" s="94"/>
      <c r="K4419" s="18">
        <f t="shared" si="842"/>
        <v>1285260</v>
      </c>
      <c r="L4419" s="19">
        <f t="shared" si="843"/>
        <v>48766037</v>
      </c>
      <c r="M4419" s="96"/>
      <c r="N4419" s="96"/>
      <c r="O4419" s="81"/>
      <c r="P4419" s="234"/>
      <c r="Q4419" s="238"/>
      <c r="R4419" s="237"/>
      <c r="S4419" s="237"/>
      <c r="T4419" s="30"/>
      <c r="U4419" s="146"/>
      <c r="V4419" s="146"/>
    </row>
    <row r="4420" spans="1:22" s="31" customFormat="1" ht="15" hidden="1" x14ac:dyDescent="0.25">
      <c r="A4420" s="31">
        <v>3192022</v>
      </c>
      <c r="B4420" s="139" t="s">
        <v>4100</v>
      </c>
      <c r="C4420" s="294"/>
      <c r="D4420" s="210">
        <v>65351440</v>
      </c>
      <c r="E4420" s="210">
        <f>+D4420</f>
        <v>65351440</v>
      </c>
      <c r="F4420" s="210"/>
      <c r="G4420" s="210"/>
      <c r="H4420" s="210"/>
      <c r="I4420" s="210"/>
      <c r="J4420" s="210"/>
      <c r="K4420" s="210"/>
      <c r="L4420" s="141">
        <f>+D4420</f>
        <v>65351440</v>
      </c>
      <c r="M4420" s="142"/>
      <c r="N4420" s="142"/>
      <c r="P4420" s="126"/>
      <c r="Q4420" s="126"/>
      <c r="R4420" s="29"/>
      <c r="S4420" s="29"/>
      <c r="T4420" s="30"/>
    </row>
    <row r="4421" spans="1:22" s="31" customFormat="1" ht="15" hidden="1" x14ac:dyDescent="0.25">
      <c r="B4421" s="89">
        <v>44606.125</v>
      </c>
      <c r="C4421" s="284" t="s">
        <v>4101</v>
      </c>
      <c r="D4421" s="285"/>
      <c r="E4421" s="285">
        <v>3539870</v>
      </c>
      <c r="F4421" s="201"/>
      <c r="G4421" s="201">
        <f>+E4421</f>
        <v>3539870</v>
      </c>
      <c r="H4421" s="202"/>
      <c r="I4421" s="202"/>
      <c r="J4421" s="202">
        <v>24024.25</v>
      </c>
      <c r="K4421" s="72">
        <f>+G4421-H4421-I4421-J4421</f>
        <v>3515845.75</v>
      </c>
      <c r="L4421" s="19">
        <f>+L4420-G4421</f>
        <v>61811570</v>
      </c>
      <c r="M4421" s="96"/>
      <c r="N4421" s="96"/>
      <c r="O4421" s="149">
        <f>+VLOOKUP(A4420,'[1]ANEXO 7 - PPTO VIG 2022'!$G$9:$AB$201,21,)-L4422</f>
        <v>0</v>
      </c>
      <c r="P4421" s="234">
        <v>56373632</v>
      </c>
      <c r="Q4421" s="235">
        <v>44562</v>
      </c>
      <c r="R4421" s="236">
        <v>177000</v>
      </c>
      <c r="S4421" s="236">
        <v>226600</v>
      </c>
      <c r="T4421" s="30"/>
      <c r="U4421" s="146"/>
      <c r="V4421" s="146"/>
    </row>
    <row r="4422" spans="1:22" s="31" customFormat="1" ht="15" x14ac:dyDescent="0.25">
      <c r="B4422" s="215">
        <v>44629.125</v>
      </c>
      <c r="C4422" s="92" t="s">
        <v>4102</v>
      </c>
      <c r="D4422" s="23"/>
      <c r="E4422" s="23">
        <v>8168930</v>
      </c>
      <c r="F4422" s="93"/>
      <c r="G4422" s="93">
        <f>+E4422</f>
        <v>8168930</v>
      </c>
      <c r="H4422" s="94"/>
      <c r="I4422" s="94">
        <v>226552.07</v>
      </c>
      <c r="J4422" s="94">
        <v>55440.57</v>
      </c>
      <c r="K4422" s="18">
        <f>+G4422-H4422-I4422-J4422</f>
        <v>7886937.3599999994</v>
      </c>
      <c r="L4422" s="19">
        <f>+L4421-G4422</f>
        <v>53642640</v>
      </c>
      <c r="M4422" s="96"/>
      <c r="N4422" s="96"/>
      <c r="O4422" s="81"/>
      <c r="P4422" s="234">
        <v>57081794</v>
      </c>
      <c r="Q4422" s="235">
        <v>44593</v>
      </c>
      <c r="R4422" s="236">
        <v>408500</v>
      </c>
      <c r="S4422" s="236">
        <v>522900</v>
      </c>
      <c r="T4422" s="30"/>
      <c r="U4422" s="146"/>
      <c r="V4422" s="146"/>
    </row>
    <row r="4423" spans="1:22" s="31" customFormat="1" ht="15" hidden="1" x14ac:dyDescent="0.25">
      <c r="A4423" s="31">
        <v>3472022</v>
      </c>
      <c r="B4423" s="139" t="s">
        <v>4103</v>
      </c>
      <c r="C4423" s="294"/>
      <c r="D4423" s="210">
        <v>74687360</v>
      </c>
      <c r="E4423" s="210">
        <f>+D4423</f>
        <v>74687360</v>
      </c>
      <c r="F4423" s="210"/>
      <c r="G4423" s="210"/>
      <c r="H4423" s="210"/>
      <c r="I4423" s="210"/>
      <c r="J4423" s="210"/>
      <c r="K4423" s="210"/>
      <c r="L4423" s="141">
        <f>+D4423</f>
        <v>74687360</v>
      </c>
      <c r="M4423" s="142"/>
      <c r="N4423" s="142"/>
      <c r="P4423" s="126"/>
      <c r="Q4423" s="126"/>
      <c r="R4423" s="29"/>
      <c r="S4423" s="29"/>
      <c r="T4423" s="30"/>
    </row>
    <row r="4424" spans="1:22" s="31" customFormat="1" ht="15" hidden="1" x14ac:dyDescent="0.25">
      <c r="B4424" s="89">
        <v>44607.125</v>
      </c>
      <c r="C4424" s="284" t="s">
        <v>4104</v>
      </c>
      <c r="D4424" s="285"/>
      <c r="E4424" s="285">
        <v>4045565</v>
      </c>
      <c r="F4424" s="201"/>
      <c r="G4424" s="201">
        <f>+E4424</f>
        <v>4045565</v>
      </c>
      <c r="H4424" s="202"/>
      <c r="I4424" s="202"/>
      <c r="J4424" s="202">
        <v>27456.28</v>
      </c>
      <c r="K4424" s="72">
        <f>+G4424-H4424-I4424-J4424</f>
        <v>4018108.72</v>
      </c>
      <c r="L4424" s="19">
        <f>+L4423-G4424</f>
        <v>70641795</v>
      </c>
      <c r="M4424" s="96"/>
      <c r="N4424" s="96"/>
      <c r="O4424" s="149">
        <f>+VLOOKUP(A4423,'[1]ANEXO 7 - PPTO VIG 2022'!$G$9:$AB$201,21,)-L4425</f>
        <v>0</v>
      </c>
      <c r="P4424" s="234">
        <v>56345311</v>
      </c>
      <c r="Q4424" s="235">
        <v>44562</v>
      </c>
      <c r="R4424" s="236">
        <v>466800</v>
      </c>
      <c r="S4424" s="236">
        <v>597500</v>
      </c>
      <c r="T4424" s="30"/>
      <c r="U4424" s="146"/>
      <c r="V4424" s="146"/>
    </row>
    <row r="4425" spans="1:22" s="31" customFormat="1" ht="15" x14ac:dyDescent="0.25">
      <c r="B4425" s="215">
        <v>44636.083333333336</v>
      </c>
      <c r="C4425" s="92" t="s">
        <v>4105</v>
      </c>
      <c r="D4425" s="23"/>
      <c r="E4425" s="23">
        <v>9335920</v>
      </c>
      <c r="F4425" s="93"/>
      <c r="G4425" s="93">
        <f>+E4425</f>
        <v>9335920</v>
      </c>
      <c r="H4425" s="94"/>
      <c r="I4425" s="94">
        <v>391662.46</v>
      </c>
      <c r="J4425" s="94">
        <v>63360.65</v>
      </c>
      <c r="K4425" s="18">
        <f>+G4425-H4425-I4425-J4425</f>
        <v>8880896.8899999987</v>
      </c>
      <c r="L4425" s="19">
        <f>+L4424-G4425</f>
        <v>61305875</v>
      </c>
      <c r="M4425" s="96"/>
      <c r="N4425" s="96"/>
      <c r="O4425" s="81"/>
      <c r="P4425" s="234">
        <v>57043192</v>
      </c>
      <c r="Q4425" s="235">
        <v>44593</v>
      </c>
      <c r="R4425" s="236">
        <v>466800</v>
      </c>
      <c r="S4425" s="236">
        <v>597500</v>
      </c>
      <c r="T4425" s="30"/>
      <c r="U4425" s="146"/>
      <c r="V4425" s="146"/>
    </row>
    <row r="4426" spans="1:22" s="31" customFormat="1" ht="15" hidden="1" x14ac:dyDescent="0.25">
      <c r="A4426" s="31">
        <v>3482022</v>
      </c>
      <c r="B4426" s="139" t="s">
        <v>4106</v>
      </c>
      <c r="C4426" s="294"/>
      <c r="D4426" s="210">
        <v>39720096</v>
      </c>
      <c r="E4426" s="210">
        <f>+D4426</f>
        <v>39720096</v>
      </c>
      <c r="F4426" s="210"/>
      <c r="G4426" s="210"/>
      <c r="H4426" s="210"/>
      <c r="I4426" s="210"/>
      <c r="J4426" s="210"/>
      <c r="K4426" s="210"/>
      <c r="L4426" s="141">
        <f>+D4426</f>
        <v>39720096</v>
      </c>
      <c r="M4426" s="142"/>
      <c r="N4426" s="142"/>
      <c r="P4426" s="126"/>
      <c r="Q4426" s="126"/>
      <c r="R4426" s="29"/>
      <c r="S4426" s="29"/>
      <c r="T4426" s="30"/>
    </row>
    <row r="4427" spans="1:22" s="31" customFormat="1" ht="15" hidden="1" x14ac:dyDescent="0.25">
      <c r="B4427" s="89">
        <v>44606.125</v>
      </c>
      <c r="C4427" s="284" t="s">
        <v>4107</v>
      </c>
      <c r="D4427" s="285"/>
      <c r="E4427" s="285">
        <v>1544670</v>
      </c>
      <c r="F4427" s="201"/>
      <c r="G4427" s="201">
        <f>+E4427</f>
        <v>1544670</v>
      </c>
      <c r="H4427" s="202"/>
      <c r="I4427" s="202"/>
      <c r="J4427" s="202">
        <v>10483.299999999999</v>
      </c>
      <c r="K4427" s="72">
        <f>+G4427-H4427-I4427-J4427</f>
        <v>1534186.7</v>
      </c>
      <c r="L4427" s="19">
        <f>+L4426-G4427</f>
        <v>38175426</v>
      </c>
      <c r="M4427" s="96"/>
      <c r="N4427" s="96"/>
      <c r="O4427" s="149">
        <f>+VLOOKUP(A4426,'[1]ANEXO 7 - PPTO VIG 2022'!$G$9:$AB$201,21,)-L4428</f>
        <v>0</v>
      </c>
      <c r="P4427" s="231">
        <v>9428115932</v>
      </c>
      <c r="Q4427" s="232">
        <v>44531</v>
      </c>
      <c r="R4427" s="233">
        <v>321400</v>
      </c>
      <c r="S4427" s="233">
        <v>411400</v>
      </c>
      <c r="T4427" s="30"/>
      <c r="U4427" s="146"/>
      <c r="V4427" s="146"/>
    </row>
    <row r="4428" spans="1:22" s="31" customFormat="1" ht="15" x14ac:dyDescent="0.25">
      <c r="B4428" s="215">
        <v>44622.125</v>
      </c>
      <c r="C4428" s="92" t="s">
        <v>4108</v>
      </c>
      <c r="D4428" s="23"/>
      <c r="E4428" s="23">
        <v>6620016</v>
      </c>
      <c r="F4428" s="93"/>
      <c r="G4428" s="93">
        <f>+E4428</f>
        <v>6620016</v>
      </c>
      <c r="H4428" s="94"/>
      <c r="I4428" s="94">
        <v>147857.18</v>
      </c>
      <c r="J4428" s="94">
        <v>44928.46</v>
      </c>
      <c r="K4428" s="18">
        <f>+G4428-H4428-I4428-J4428</f>
        <v>6427230.3600000003</v>
      </c>
      <c r="L4428" s="19">
        <f>+L4427-G4428</f>
        <v>31555410</v>
      </c>
      <c r="M4428" s="96"/>
      <c r="N4428" s="96"/>
      <c r="O4428" s="81"/>
      <c r="P4428" s="234">
        <v>9431175430</v>
      </c>
      <c r="Q4428" s="235">
        <v>44562</v>
      </c>
      <c r="R4428" s="237">
        <v>331100</v>
      </c>
      <c r="S4428" s="237">
        <v>423700</v>
      </c>
      <c r="T4428" s="30"/>
      <c r="U4428" s="146"/>
      <c r="V4428" s="146"/>
    </row>
    <row r="4429" spans="1:22" s="31" customFormat="1" ht="15" hidden="1" x14ac:dyDescent="0.25">
      <c r="A4429" s="31">
        <v>3512022</v>
      </c>
      <c r="B4429" s="139" t="s">
        <v>4109</v>
      </c>
      <c r="C4429" s="294"/>
      <c r="D4429" s="210">
        <v>88372970</v>
      </c>
      <c r="E4429" s="210">
        <f>+D4429</f>
        <v>88372970</v>
      </c>
      <c r="F4429" s="210"/>
      <c r="G4429" s="210"/>
      <c r="H4429" s="210"/>
      <c r="I4429" s="210"/>
      <c r="J4429" s="210"/>
      <c r="K4429" s="210"/>
      <c r="L4429" s="141">
        <f>+D4429</f>
        <v>88372970</v>
      </c>
      <c r="M4429" s="142"/>
      <c r="N4429" s="142"/>
      <c r="P4429" s="156"/>
      <c r="Q4429" s="156"/>
      <c r="R4429" s="158"/>
      <c r="S4429" s="158"/>
      <c r="T4429" s="30"/>
    </row>
    <row r="4430" spans="1:22" s="31" customFormat="1" ht="15" hidden="1" x14ac:dyDescent="0.25">
      <c r="B4430" s="89">
        <v>44606.125</v>
      </c>
      <c r="C4430" s="284" t="s">
        <v>4110</v>
      </c>
      <c r="D4430" s="285"/>
      <c r="E4430" s="285">
        <v>2970520</v>
      </c>
      <c r="F4430" s="201"/>
      <c r="G4430" s="201">
        <f>+E4430</f>
        <v>2970520</v>
      </c>
      <c r="H4430" s="202"/>
      <c r="I4430" s="202"/>
      <c r="J4430" s="202">
        <v>20160.21</v>
      </c>
      <c r="K4430" s="72">
        <f>+G4430-H4430-I4430-J4430</f>
        <v>2950359.79</v>
      </c>
      <c r="L4430" s="19">
        <f>+L4429-G4430</f>
        <v>85402450</v>
      </c>
      <c r="M4430" s="96"/>
      <c r="N4430" s="96"/>
      <c r="O4430" s="149">
        <f>+VLOOKUP(A4429,'[1]ANEXO 7 - PPTO VIG 2022'!$G$9:$AB$201,21,)-L4431</f>
        <v>0</v>
      </c>
      <c r="P4430" s="227">
        <v>56343829</v>
      </c>
      <c r="Q4430" s="228">
        <v>44562</v>
      </c>
      <c r="R4430" s="229">
        <v>371400</v>
      </c>
      <c r="S4430" s="229">
        <v>475300</v>
      </c>
      <c r="T4430" s="30"/>
      <c r="U4430" s="146"/>
      <c r="V4430" s="146"/>
    </row>
    <row r="4431" spans="1:22" s="31" customFormat="1" ht="15" x14ac:dyDescent="0.25">
      <c r="B4431" s="215">
        <v>44629.125</v>
      </c>
      <c r="C4431" s="92" t="s">
        <v>4111</v>
      </c>
      <c r="D4431" s="23"/>
      <c r="E4431" s="23">
        <v>7426300</v>
      </c>
      <c r="F4431" s="93"/>
      <c r="G4431" s="93">
        <f>+E4431</f>
        <v>7426300</v>
      </c>
      <c r="H4431" s="94"/>
      <c r="I4431" s="94">
        <v>143587.54999999999</v>
      </c>
      <c r="J4431" s="94">
        <v>50400.52</v>
      </c>
      <c r="K4431" s="18">
        <f>+G4431-H4431-I4431-J4431</f>
        <v>7232311.9300000006</v>
      </c>
      <c r="L4431" s="19">
        <f>+L4430-G4431</f>
        <v>77976150</v>
      </c>
      <c r="M4431" s="96"/>
      <c r="N4431" s="96"/>
      <c r="O4431" s="81"/>
      <c r="P4431" s="234">
        <v>56840833</v>
      </c>
      <c r="Q4431" s="228">
        <v>44593</v>
      </c>
      <c r="R4431" s="229">
        <v>371400</v>
      </c>
      <c r="S4431" s="229">
        <v>475300</v>
      </c>
      <c r="T4431" s="30"/>
      <c r="U4431" s="146"/>
      <c r="V4431" s="146"/>
    </row>
    <row r="4432" spans="1:22" s="31" customFormat="1" ht="15" hidden="1" x14ac:dyDescent="0.25">
      <c r="A4432" s="31">
        <v>3942022</v>
      </c>
      <c r="B4432" s="139" t="s">
        <v>4112</v>
      </c>
      <c r="C4432" s="294"/>
      <c r="D4432" s="210">
        <v>88130184</v>
      </c>
      <c r="E4432" s="210">
        <f>+D4432</f>
        <v>88130184</v>
      </c>
      <c r="F4432" s="210"/>
      <c r="G4432" s="210"/>
      <c r="H4432" s="210"/>
      <c r="I4432" s="210"/>
      <c r="J4432" s="210"/>
      <c r="K4432" s="210"/>
      <c r="L4432" s="141">
        <f>+D4432</f>
        <v>88130184</v>
      </c>
      <c r="M4432" s="142"/>
      <c r="N4432" s="142"/>
      <c r="P4432" s="156"/>
      <c r="Q4432" s="156"/>
      <c r="R4432" s="158"/>
      <c r="S4432" s="158"/>
      <c r="T4432" s="30"/>
    </row>
    <row r="4433" spans="1:22" s="31" customFormat="1" ht="15" hidden="1" x14ac:dyDescent="0.25">
      <c r="B4433" s="89">
        <v>44606.125</v>
      </c>
      <c r="C4433" s="284" t="s">
        <v>4113</v>
      </c>
      <c r="D4433" s="285"/>
      <c r="E4433" s="285">
        <v>1765337</v>
      </c>
      <c r="F4433" s="201"/>
      <c r="G4433" s="201">
        <f>+E4433</f>
        <v>1765337</v>
      </c>
      <c r="H4433" s="202"/>
      <c r="I4433" s="202"/>
      <c r="J4433" s="202">
        <v>13522.48</v>
      </c>
      <c r="K4433" s="72">
        <f>+G4433-H4433-I4433-J4433</f>
        <v>1751814.52</v>
      </c>
      <c r="L4433" s="19">
        <f>+L4432-G4433</f>
        <v>86364847</v>
      </c>
      <c r="M4433" s="96"/>
      <c r="N4433" s="96"/>
      <c r="O4433" s="149">
        <f>+VLOOKUP(A4432,'[1]ANEXO 7 - PPTO VIG 2022'!$G$9:$AB$201,21,)-L4434</f>
        <v>0</v>
      </c>
      <c r="P4433" s="231">
        <v>9428276479</v>
      </c>
      <c r="Q4433" s="232">
        <v>44531</v>
      </c>
      <c r="R4433" s="233">
        <v>321400</v>
      </c>
      <c r="S4433" s="233">
        <v>0</v>
      </c>
      <c r="T4433" s="30"/>
      <c r="U4433" s="146"/>
      <c r="V4433" s="146"/>
    </row>
    <row r="4434" spans="1:22" s="31" customFormat="1" ht="15" x14ac:dyDescent="0.25">
      <c r="B4434" s="215">
        <v>44634.083333333336</v>
      </c>
      <c r="C4434" s="92" t="s">
        <v>4114</v>
      </c>
      <c r="D4434" s="23"/>
      <c r="E4434" s="23">
        <v>6620016</v>
      </c>
      <c r="F4434" s="93"/>
      <c r="G4434" s="93">
        <f>+E4434</f>
        <v>6620016</v>
      </c>
      <c r="H4434" s="94"/>
      <c r="I4434" s="94">
        <v>244274.81</v>
      </c>
      <c r="J4434" s="94">
        <v>50033.2</v>
      </c>
      <c r="K4434" s="18">
        <f>+G4434-H4434-I4434-J4434</f>
        <v>6325707.9900000002</v>
      </c>
      <c r="L4434" s="19">
        <f>+L4433-G4434</f>
        <v>79744831</v>
      </c>
      <c r="M4434" s="96"/>
      <c r="N4434" s="96"/>
      <c r="O4434" s="81"/>
      <c r="P4434" s="234">
        <v>9431610129</v>
      </c>
      <c r="Q4434" s="228">
        <v>44562</v>
      </c>
      <c r="R4434" s="237">
        <v>29200</v>
      </c>
      <c r="S4434" s="237">
        <v>0</v>
      </c>
      <c r="T4434" s="30"/>
      <c r="U4434" s="146"/>
      <c r="V4434" s="146"/>
    </row>
    <row r="4435" spans="1:22" s="31" customFormat="1" ht="15" hidden="1" x14ac:dyDescent="0.25">
      <c r="A4435" s="31">
        <v>6342021</v>
      </c>
      <c r="B4435" s="139" t="s">
        <v>4115</v>
      </c>
      <c r="C4435" s="294"/>
      <c r="D4435" s="210">
        <v>400000000</v>
      </c>
      <c r="E4435" s="210">
        <f>+D4435</f>
        <v>400000000</v>
      </c>
      <c r="F4435" s="210"/>
      <c r="G4435" s="210"/>
      <c r="H4435" s="210"/>
      <c r="I4435" s="210"/>
      <c r="J4435" s="210"/>
      <c r="K4435" s="210"/>
      <c r="L4435" s="141">
        <f>+D4435</f>
        <v>400000000</v>
      </c>
      <c r="M4435" s="142"/>
      <c r="N4435" s="142"/>
      <c r="P4435" s="126"/>
      <c r="Q4435" s="126"/>
      <c r="R4435" s="29"/>
      <c r="S4435" s="29"/>
      <c r="T4435" s="30"/>
    </row>
    <row r="4436" spans="1:22" s="31" customFormat="1" ht="15" hidden="1" x14ac:dyDescent="0.25">
      <c r="B4436" s="89">
        <v>44606.125</v>
      </c>
      <c r="C4436" s="92" t="s">
        <v>4116</v>
      </c>
      <c r="D4436" s="23"/>
      <c r="E4436" s="23">
        <v>400000000</v>
      </c>
      <c r="F4436" s="93"/>
      <c r="G4436" s="93">
        <f>+E4436</f>
        <v>400000000</v>
      </c>
      <c r="H4436" s="94">
        <v>9579831.9000000004</v>
      </c>
      <c r="I4436" s="94">
        <v>36974789.939999998</v>
      </c>
      <c r="J4436" s="94">
        <v>3247058.83</v>
      </c>
      <c r="K4436" s="18">
        <f>+G4436-H4436-I4436-J4436</f>
        <v>350198319.33000004</v>
      </c>
      <c r="L4436" s="19">
        <f>+L4435-G4436</f>
        <v>0</v>
      </c>
      <c r="M4436" s="96"/>
      <c r="N4436" s="96"/>
      <c r="O4436" s="149">
        <f>+VLOOKUP(A4435,'[1]ANEXO 7 - PPTO VIG 2021'!$H$8:$AB$166,21,)-L4436</f>
        <v>0</v>
      </c>
      <c r="P4436" s="55"/>
      <c r="Q4436" s="98"/>
      <c r="R4436" s="14"/>
      <c r="S4436" s="14"/>
      <c r="T4436" s="30"/>
      <c r="U4436" s="146"/>
      <c r="V4436" s="146"/>
    </row>
    <row r="4437" spans="1:22" s="31" customFormat="1" ht="15" hidden="1" x14ac:dyDescent="0.25">
      <c r="B4437" s="215"/>
      <c r="C4437" s="216"/>
      <c r="D4437" s="217"/>
      <c r="E4437" s="217"/>
      <c r="F4437" s="219"/>
      <c r="G4437" s="219"/>
      <c r="H4437" s="218"/>
      <c r="I4437" s="218"/>
      <c r="J4437" s="218"/>
      <c r="K4437" s="41"/>
      <c r="L4437" s="20"/>
      <c r="M4437" s="96"/>
      <c r="N4437" s="96"/>
      <c r="O4437" s="81"/>
      <c r="P4437" s="234"/>
      <c r="Q4437" s="238"/>
      <c r="R4437" s="237"/>
      <c r="S4437" s="237"/>
      <c r="T4437" s="30"/>
      <c r="U4437" s="146"/>
      <c r="V4437" s="146"/>
    </row>
    <row r="4438" spans="1:22" s="31" customFormat="1" ht="15" hidden="1" x14ac:dyDescent="0.25">
      <c r="A4438" s="31">
        <v>362022</v>
      </c>
      <c r="B4438" s="139" t="s">
        <v>4117</v>
      </c>
      <c r="C4438" s="140"/>
      <c r="D4438" s="141">
        <v>127115733</v>
      </c>
      <c r="E4438" s="141">
        <f>+D4438</f>
        <v>127115733</v>
      </c>
      <c r="F4438" s="141"/>
      <c r="G4438" s="141"/>
      <c r="H4438" s="141"/>
      <c r="I4438" s="141"/>
      <c r="J4438" s="141"/>
      <c r="K4438" s="141"/>
      <c r="L4438" s="141">
        <f>+D4438</f>
        <v>127115733</v>
      </c>
      <c r="M4438" s="142"/>
      <c r="N4438" s="142"/>
      <c r="P4438" s="156"/>
      <c r="Q4438" s="156"/>
      <c r="R4438" s="158"/>
      <c r="S4438" s="158"/>
      <c r="T4438" s="30"/>
    </row>
    <row r="4439" spans="1:22" s="31" customFormat="1" ht="15" hidden="1" x14ac:dyDescent="0.25">
      <c r="B4439" s="89">
        <v>44606.125</v>
      </c>
      <c r="C4439" s="284" t="s">
        <v>4118</v>
      </c>
      <c r="D4439" s="285"/>
      <c r="E4439" s="285">
        <v>8926666</v>
      </c>
      <c r="F4439" s="201"/>
      <c r="G4439" s="201">
        <f>+E4439</f>
        <v>8926666</v>
      </c>
      <c r="H4439" s="202"/>
      <c r="I4439" s="202">
        <v>440189.46</v>
      </c>
      <c r="J4439" s="202">
        <v>60583.14</v>
      </c>
      <c r="K4439" s="72">
        <f>+G4439-H4439-I4439-J4439</f>
        <v>8425893.3999999985</v>
      </c>
      <c r="L4439" s="19">
        <f>+L4438-G4439</f>
        <v>118189067</v>
      </c>
      <c r="M4439" s="96"/>
      <c r="N4439" s="96"/>
      <c r="O4439" s="149">
        <f>+VLOOKUP(A4438,'[1]ANEXO 7 - PPTO VIG 2022'!$G$9:$AB$201,21,)-L4440</f>
        <v>0</v>
      </c>
      <c r="P4439" s="231">
        <v>9428345054</v>
      </c>
      <c r="Q4439" s="232">
        <v>44531</v>
      </c>
      <c r="R4439" s="233">
        <v>520000</v>
      </c>
      <c r="S4439" s="233">
        <v>707200</v>
      </c>
      <c r="T4439" s="30"/>
      <c r="U4439" s="146"/>
      <c r="V4439" s="146"/>
    </row>
    <row r="4440" spans="1:22" s="31" customFormat="1" ht="15" x14ac:dyDescent="0.25">
      <c r="B4440" s="215">
        <v>44636.083333333336</v>
      </c>
      <c r="C4440" s="92" t="s">
        <v>4119</v>
      </c>
      <c r="D4440" s="23"/>
      <c r="E4440" s="23">
        <v>10712000</v>
      </c>
      <c r="F4440" s="93"/>
      <c r="G4440" s="93">
        <f>+E4440</f>
        <v>10712000</v>
      </c>
      <c r="H4440" s="94"/>
      <c r="I4440" s="94">
        <v>773019.72</v>
      </c>
      <c r="J4440" s="94">
        <v>72699.77</v>
      </c>
      <c r="K4440" s="18">
        <f>+G4440-H4440-I4440-J4440</f>
        <v>9866280.5099999998</v>
      </c>
      <c r="L4440" s="19">
        <f>+L4439-G4440</f>
        <v>107477067</v>
      </c>
      <c r="M4440" s="96"/>
      <c r="N4440" s="96"/>
      <c r="O4440" s="81"/>
      <c r="P4440" s="234">
        <v>9431639641</v>
      </c>
      <c r="Q4440" s="228">
        <v>44562</v>
      </c>
      <c r="R4440" s="237">
        <v>446300</v>
      </c>
      <c r="S4440" s="237">
        <v>571300</v>
      </c>
      <c r="T4440" s="30"/>
      <c r="U4440" s="146"/>
      <c r="V4440" s="146"/>
    </row>
    <row r="4441" spans="1:22" s="31" customFormat="1" ht="15" hidden="1" x14ac:dyDescent="0.25">
      <c r="A4441" s="31">
        <v>492022</v>
      </c>
      <c r="B4441" s="139" t="s">
        <v>4120</v>
      </c>
      <c r="C4441" s="294"/>
      <c r="D4441" s="210">
        <v>73336000</v>
      </c>
      <c r="E4441" s="210">
        <f>+D4441</f>
        <v>73336000</v>
      </c>
      <c r="F4441" s="210"/>
      <c r="G4441" s="210"/>
      <c r="H4441" s="210"/>
      <c r="I4441" s="210"/>
      <c r="J4441" s="210"/>
      <c r="K4441" s="210"/>
      <c r="L4441" s="141">
        <f>+D4441</f>
        <v>73336000</v>
      </c>
      <c r="M4441" s="142"/>
      <c r="N4441" s="142"/>
      <c r="P4441" s="156"/>
      <c r="Q4441" s="156"/>
      <c r="R4441" s="158"/>
      <c r="S4441" s="158"/>
      <c r="T4441" s="30"/>
    </row>
    <row r="4442" spans="1:22" s="31" customFormat="1" ht="15" hidden="1" x14ac:dyDescent="0.25">
      <c r="B4442" s="89">
        <v>44607.125</v>
      </c>
      <c r="C4442" s="284" t="s">
        <v>4121</v>
      </c>
      <c r="D4442" s="285"/>
      <c r="E4442" s="285">
        <v>5150000</v>
      </c>
      <c r="F4442" s="201"/>
      <c r="G4442" s="201">
        <f>+E4442</f>
        <v>5150000</v>
      </c>
      <c r="H4442" s="202"/>
      <c r="I4442" s="202"/>
      <c r="J4442" s="202">
        <v>34951.81</v>
      </c>
      <c r="K4442" s="72">
        <f>+G4442-H4442-I4442-J4442</f>
        <v>5115048.1900000004</v>
      </c>
      <c r="L4442" s="19">
        <f>+L4441-G4442</f>
        <v>68186000</v>
      </c>
      <c r="M4442" s="96"/>
      <c r="N4442" s="96"/>
      <c r="O4442" s="149">
        <f>+VLOOKUP(A4441,'[1]ANEXO 7 - PPTO VIG 2022'!$G$9:$AB$201,21,)-L4443</f>
        <v>0</v>
      </c>
      <c r="P4442" s="227">
        <v>9430588997</v>
      </c>
      <c r="Q4442" s="228">
        <v>44562</v>
      </c>
      <c r="R4442" s="229">
        <v>309000</v>
      </c>
      <c r="S4442" s="229">
        <v>395600</v>
      </c>
      <c r="T4442" s="30"/>
      <c r="U4442" s="146"/>
      <c r="V4442" s="146"/>
    </row>
    <row r="4443" spans="1:22" s="31" customFormat="1" ht="15" x14ac:dyDescent="0.25">
      <c r="B4443" s="215">
        <v>44629.125</v>
      </c>
      <c r="C4443" s="92" t="s">
        <v>4122</v>
      </c>
      <c r="D4443" s="23"/>
      <c r="E4443" s="23">
        <v>6180000</v>
      </c>
      <c r="F4443" s="93"/>
      <c r="G4443" s="93">
        <f>+E4443</f>
        <v>6180000</v>
      </c>
      <c r="H4443" s="94"/>
      <c r="I4443" s="94">
        <v>4366.2</v>
      </c>
      <c r="J4443" s="94">
        <v>41942.18</v>
      </c>
      <c r="K4443" s="18">
        <f>+G4443-H4443-I4443-J4443</f>
        <v>6133691.6200000001</v>
      </c>
      <c r="L4443" s="19">
        <f>+L4442-G4443</f>
        <v>62006000</v>
      </c>
      <c r="M4443" s="96"/>
      <c r="N4443" s="96"/>
      <c r="O4443" s="81"/>
      <c r="P4443" s="234">
        <v>9431152445</v>
      </c>
      <c r="Q4443" s="228">
        <v>44593</v>
      </c>
      <c r="R4443" s="229">
        <v>309000</v>
      </c>
      <c r="S4443" s="229">
        <v>395600</v>
      </c>
      <c r="T4443" s="30"/>
      <c r="U4443" s="146"/>
      <c r="V4443" s="146"/>
    </row>
    <row r="4444" spans="1:22" s="31" customFormat="1" ht="15" hidden="1" x14ac:dyDescent="0.25">
      <c r="A4444" s="31">
        <v>762022</v>
      </c>
      <c r="B4444" s="139" t="s">
        <v>4123</v>
      </c>
      <c r="C4444" s="294"/>
      <c r="D4444" s="210">
        <v>100997680</v>
      </c>
      <c r="E4444" s="210">
        <f>+D4444</f>
        <v>100997680</v>
      </c>
      <c r="F4444" s="210"/>
      <c r="G4444" s="210"/>
      <c r="H4444" s="210"/>
      <c r="I4444" s="210"/>
      <c r="J4444" s="210"/>
      <c r="K4444" s="210"/>
      <c r="L4444" s="141">
        <f>+D4444</f>
        <v>100997680</v>
      </c>
      <c r="M4444" s="142"/>
      <c r="N4444" s="142"/>
      <c r="P4444" s="156"/>
      <c r="Q4444" s="156"/>
      <c r="R4444" s="158"/>
      <c r="S4444" s="158"/>
      <c r="T4444" s="30"/>
    </row>
    <row r="4445" spans="1:22" s="31" customFormat="1" ht="15" hidden="1" x14ac:dyDescent="0.25">
      <c r="B4445" s="89">
        <v>44607.125</v>
      </c>
      <c r="C4445" s="284" t="s">
        <v>4124</v>
      </c>
      <c r="D4445" s="285"/>
      <c r="E4445" s="285">
        <v>5658133</v>
      </c>
      <c r="F4445" s="201"/>
      <c r="G4445" s="201">
        <f>+E4445</f>
        <v>5658133</v>
      </c>
      <c r="H4445" s="202"/>
      <c r="I4445" s="202"/>
      <c r="J4445" s="202">
        <v>38400.39</v>
      </c>
      <c r="K4445" s="72">
        <f>+G4445-H4445-I4445-J4445</f>
        <v>5619732.6100000003</v>
      </c>
      <c r="L4445" s="19">
        <f>+L4444-G4445</f>
        <v>95339547</v>
      </c>
      <c r="M4445" s="96"/>
      <c r="N4445" s="96"/>
      <c r="O4445" s="149">
        <f>+VLOOKUP(A4444,'[1]ANEXO 7 - PPTO VIG 2022'!$G$9:$AB$201,21,)-L4446</f>
        <v>0</v>
      </c>
      <c r="P4445" s="227">
        <v>7824628167</v>
      </c>
      <c r="Q4445" s="228">
        <v>44562</v>
      </c>
      <c r="R4445" s="229">
        <v>314600</v>
      </c>
      <c r="S4445" s="229">
        <v>402700</v>
      </c>
      <c r="T4445" s="30"/>
      <c r="U4445" s="146"/>
      <c r="V4445" s="146"/>
    </row>
    <row r="4446" spans="1:22" s="31" customFormat="1" ht="15" x14ac:dyDescent="0.25">
      <c r="B4446" s="215">
        <v>44629.125</v>
      </c>
      <c r="C4446" s="92" t="s">
        <v>4125</v>
      </c>
      <c r="D4446" s="23"/>
      <c r="E4446" s="23">
        <v>8487200</v>
      </c>
      <c r="F4446" s="93"/>
      <c r="G4446" s="93">
        <f>+E4446</f>
        <v>8487200</v>
      </c>
      <c r="H4446" s="94"/>
      <c r="I4446" s="94">
        <v>175451.01</v>
      </c>
      <c r="J4446" s="94">
        <v>57600.59</v>
      </c>
      <c r="K4446" s="18">
        <f>+G4446-H4446-I4446-J4446</f>
        <v>8254148.4000000004</v>
      </c>
      <c r="L4446" s="19">
        <f>+L4445-G4446</f>
        <v>86852347</v>
      </c>
      <c r="M4446" s="96"/>
      <c r="N4446" s="96"/>
      <c r="O4446" s="81"/>
      <c r="P4446" s="234">
        <v>7827754554</v>
      </c>
      <c r="Q4446" s="228">
        <v>44593</v>
      </c>
      <c r="R4446" s="237">
        <v>424400</v>
      </c>
      <c r="S4446" s="237">
        <v>543200</v>
      </c>
      <c r="T4446" s="30"/>
      <c r="U4446" s="146"/>
      <c r="V4446" s="146"/>
    </row>
    <row r="4447" spans="1:22" s="31" customFormat="1" ht="15" hidden="1" x14ac:dyDescent="0.25">
      <c r="A4447" s="31">
        <v>1432022</v>
      </c>
      <c r="B4447" s="139" t="s">
        <v>4126</v>
      </c>
      <c r="C4447" s="294"/>
      <c r="D4447" s="210">
        <v>82060615</v>
      </c>
      <c r="E4447" s="210">
        <f>+D4447</f>
        <v>82060615</v>
      </c>
      <c r="F4447" s="210"/>
      <c r="G4447" s="210"/>
      <c r="H4447" s="210"/>
      <c r="I4447" s="210"/>
      <c r="J4447" s="210"/>
      <c r="K4447" s="210"/>
      <c r="L4447" s="141">
        <f>+D4447</f>
        <v>82060615</v>
      </c>
      <c r="M4447" s="142"/>
      <c r="N4447" s="142"/>
      <c r="P4447" s="156"/>
      <c r="Q4447" s="156"/>
      <c r="R4447" s="158"/>
      <c r="S4447" s="158"/>
      <c r="T4447" s="30"/>
    </row>
    <row r="4448" spans="1:22" s="31" customFormat="1" ht="15" hidden="1" x14ac:dyDescent="0.25">
      <c r="B4448" s="89">
        <v>44606.125</v>
      </c>
      <c r="C4448" s="284" t="s">
        <v>4127</v>
      </c>
      <c r="D4448" s="285"/>
      <c r="E4448" s="285">
        <v>4137510</v>
      </c>
      <c r="F4448" s="201"/>
      <c r="G4448" s="201">
        <f>+E4448</f>
        <v>4137510</v>
      </c>
      <c r="H4448" s="202"/>
      <c r="I4448" s="202"/>
      <c r="J4448" s="202">
        <v>28080.29</v>
      </c>
      <c r="K4448" s="72">
        <f>+G4448-H4448-I4448-J4448</f>
        <v>4109429.71</v>
      </c>
      <c r="L4448" s="19">
        <f>+L4447-G4448</f>
        <v>77923105</v>
      </c>
      <c r="M4448" s="96"/>
      <c r="N4448" s="96"/>
      <c r="O4448" s="149">
        <f>+VLOOKUP(A4447,'[1]ANEXO 7 - PPTO VIG 2022'!$G$9:$AB$201,21,)-L4449</f>
        <v>0</v>
      </c>
      <c r="P4448" s="227">
        <v>9430253702</v>
      </c>
      <c r="Q4448" s="228">
        <v>44562</v>
      </c>
      <c r="R4448" s="229">
        <v>344800</v>
      </c>
      <c r="S4448" s="229">
        <v>441400</v>
      </c>
      <c r="T4448" s="30"/>
      <c r="U4448" s="146"/>
      <c r="V4448" s="146"/>
    </row>
    <row r="4449" spans="1:22" s="31" customFormat="1" ht="15" x14ac:dyDescent="0.25">
      <c r="B4449" s="215">
        <v>44629.125</v>
      </c>
      <c r="C4449" s="92" t="s">
        <v>4128</v>
      </c>
      <c r="D4449" s="23"/>
      <c r="E4449" s="23">
        <v>6895850</v>
      </c>
      <c r="F4449" s="93"/>
      <c r="G4449" s="93">
        <f>+E4449</f>
        <v>6895850</v>
      </c>
      <c r="H4449" s="94"/>
      <c r="I4449" s="94">
        <v>182611.35</v>
      </c>
      <c r="J4449" s="94">
        <v>46800.480000000003</v>
      </c>
      <c r="K4449" s="18">
        <f>+G4449-H4449-I4449-J4449</f>
        <v>6666438.1699999999</v>
      </c>
      <c r="L4449" s="19">
        <f>+L4448-G4449</f>
        <v>71027255</v>
      </c>
      <c r="M4449" s="96"/>
      <c r="N4449" s="96"/>
      <c r="O4449" s="81"/>
      <c r="P4449" s="234">
        <v>9431515366</v>
      </c>
      <c r="Q4449" s="228">
        <v>44593</v>
      </c>
      <c r="R4449" s="237">
        <v>344800</v>
      </c>
      <c r="S4449" s="237">
        <v>441400</v>
      </c>
      <c r="T4449" s="30"/>
      <c r="U4449" s="146"/>
      <c r="V4449" s="146"/>
    </row>
    <row r="4450" spans="1:22" s="31" customFormat="1" ht="15" hidden="1" x14ac:dyDescent="0.25">
      <c r="A4450" s="31">
        <v>1472022</v>
      </c>
      <c r="B4450" s="139" t="s">
        <v>4129</v>
      </c>
      <c r="C4450" s="294"/>
      <c r="D4450" s="210">
        <v>45596040</v>
      </c>
      <c r="E4450" s="210">
        <f>+D4450</f>
        <v>45596040</v>
      </c>
      <c r="F4450" s="210"/>
      <c r="G4450" s="210"/>
      <c r="H4450" s="210"/>
      <c r="I4450" s="210"/>
      <c r="J4450" s="210"/>
      <c r="K4450" s="210"/>
      <c r="L4450" s="141">
        <f>+D4450</f>
        <v>45596040</v>
      </c>
      <c r="M4450" s="142"/>
      <c r="N4450" s="142"/>
      <c r="P4450" s="156"/>
      <c r="Q4450" s="156"/>
      <c r="R4450" s="158"/>
      <c r="S4450" s="158"/>
      <c r="T4450" s="30"/>
    </row>
    <row r="4451" spans="1:22" s="31" customFormat="1" ht="15" hidden="1" x14ac:dyDescent="0.25">
      <c r="B4451" s="89">
        <v>44606.125</v>
      </c>
      <c r="C4451" s="284" t="s">
        <v>4130</v>
      </c>
      <c r="D4451" s="285"/>
      <c r="E4451" s="285">
        <v>2426680</v>
      </c>
      <c r="F4451" s="201"/>
      <c r="G4451" s="201">
        <f>+E4451</f>
        <v>2426680</v>
      </c>
      <c r="H4451" s="202"/>
      <c r="I4451" s="202"/>
      <c r="J4451" s="202">
        <v>16469.29</v>
      </c>
      <c r="K4451" s="72">
        <f>+G4451-H4451-I4451-J4451</f>
        <v>2410210.71</v>
      </c>
      <c r="L4451" s="19">
        <f>+L4450-G4451</f>
        <v>43169360</v>
      </c>
      <c r="M4451" s="96"/>
      <c r="N4451" s="96"/>
      <c r="O4451" s="149">
        <f>+VLOOKUP(A4450,'[1]ANEXO 7 - PPTO VIG 2022'!$G$9:$AB$201,21,)-L4452</f>
        <v>0</v>
      </c>
      <c r="P4451" s="227">
        <v>56238264</v>
      </c>
      <c r="Q4451" s="228">
        <v>44562</v>
      </c>
      <c r="R4451" s="229">
        <v>125000</v>
      </c>
      <c r="S4451" s="229">
        <v>160000</v>
      </c>
      <c r="T4451" s="30"/>
      <c r="U4451" s="146"/>
      <c r="V4451" s="146"/>
    </row>
    <row r="4452" spans="1:22" s="31" customFormat="1" ht="15" x14ac:dyDescent="0.25">
      <c r="B4452" s="215">
        <v>44628.125</v>
      </c>
      <c r="C4452" s="92" t="s">
        <v>4131</v>
      </c>
      <c r="D4452" s="23"/>
      <c r="E4452" s="23">
        <v>3831600</v>
      </c>
      <c r="F4452" s="93"/>
      <c r="G4452" s="93">
        <f>+E4452</f>
        <v>3831600</v>
      </c>
      <c r="H4452" s="94"/>
      <c r="I4452" s="94"/>
      <c r="J4452" s="94">
        <v>26004.15</v>
      </c>
      <c r="K4452" s="18">
        <f>+G4452-H4452-I4452-J4452</f>
        <v>3805595.85</v>
      </c>
      <c r="L4452" s="19">
        <f>+L4451-G4452</f>
        <v>39337760</v>
      </c>
      <c r="M4452" s="96"/>
      <c r="N4452" s="96"/>
      <c r="O4452" s="81"/>
      <c r="P4452" s="234">
        <v>57006695</v>
      </c>
      <c r="Q4452" s="228">
        <v>44593</v>
      </c>
      <c r="R4452" s="237">
        <v>191600</v>
      </c>
      <c r="S4452" s="237">
        <v>245300</v>
      </c>
      <c r="T4452" s="30"/>
      <c r="U4452" s="146"/>
      <c r="V4452" s="146"/>
    </row>
    <row r="4453" spans="1:22" s="31" customFormat="1" ht="15" hidden="1" x14ac:dyDescent="0.25">
      <c r="A4453" s="31">
        <v>1482022</v>
      </c>
      <c r="B4453" s="139" t="s">
        <v>4132</v>
      </c>
      <c r="C4453" s="294"/>
      <c r="D4453" s="210">
        <v>63123550</v>
      </c>
      <c r="E4453" s="210">
        <f>+D4453</f>
        <v>63123550</v>
      </c>
      <c r="F4453" s="210"/>
      <c r="G4453" s="210"/>
      <c r="H4453" s="210"/>
      <c r="I4453" s="210"/>
      <c r="J4453" s="210"/>
      <c r="K4453" s="210"/>
      <c r="L4453" s="141">
        <f>+D4453</f>
        <v>63123550</v>
      </c>
      <c r="M4453" s="142"/>
      <c r="N4453" s="142"/>
      <c r="P4453" s="156"/>
      <c r="Q4453" s="156"/>
      <c r="R4453" s="158"/>
      <c r="S4453" s="158"/>
      <c r="T4453" s="30"/>
    </row>
    <row r="4454" spans="1:22" s="31" customFormat="1" ht="15" hidden="1" x14ac:dyDescent="0.25">
      <c r="B4454" s="89">
        <v>44607.125</v>
      </c>
      <c r="C4454" s="284" t="s">
        <v>4133</v>
      </c>
      <c r="D4454" s="285"/>
      <c r="E4454" s="285">
        <v>3536333</v>
      </c>
      <c r="F4454" s="201"/>
      <c r="G4454" s="201">
        <f>+E4454</f>
        <v>3536333</v>
      </c>
      <c r="H4454" s="202"/>
      <c r="I4454" s="202"/>
      <c r="J4454" s="202">
        <v>24000.240000000002</v>
      </c>
      <c r="K4454" s="72">
        <f>+G4454-H4454-I4454-J4454</f>
        <v>3512332.76</v>
      </c>
      <c r="L4454" s="19">
        <f>+L4453-G4454</f>
        <v>59587217</v>
      </c>
      <c r="M4454" s="96"/>
      <c r="N4454" s="96"/>
      <c r="O4454" s="149">
        <f>+VLOOKUP(A4453,'[1]ANEXO 7 - PPTO VIG 2022'!$G$9:$AB$201,21,)-L4455</f>
        <v>0</v>
      </c>
      <c r="P4454" s="227">
        <v>1043545404</v>
      </c>
      <c r="Q4454" s="228">
        <v>44562</v>
      </c>
      <c r="R4454" s="229">
        <v>177000</v>
      </c>
      <c r="S4454" s="229">
        <v>226600</v>
      </c>
      <c r="T4454" s="30"/>
      <c r="U4454" s="146"/>
      <c r="V4454" s="146"/>
    </row>
    <row r="4455" spans="1:22" s="31" customFormat="1" ht="15" x14ac:dyDescent="0.25">
      <c r="B4455" s="215">
        <v>44636.083333333336</v>
      </c>
      <c r="C4455" s="92" t="s">
        <v>4134</v>
      </c>
      <c r="D4455" s="23"/>
      <c r="E4455" s="23">
        <v>5304500</v>
      </c>
      <c r="F4455" s="93"/>
      <c r="G4455" s="93">
        <f>+E4455</f>
        <v>5304500</v>
      </c>
      <c r="H4455" s="94"/>
      <c r="I4455" s="94"/>
      <c r="J4455" s="94">
        <v>36000.370000000003</v>
      </c>
      <c r="K4455" s="18">
        <f>+G4455-H4455-I4455-J4455</f>
        <v>5268499.63</v>
      </c>
      <c r="L4455" s="19">
        <f>+L4454-G4455</f>
        <v>54282717</v>
      </c>
      <c r="M4455" s="96"/>
      <c r="N4455" s="96"/>
      <c r="O4455" s="81"/>
      <c r="P4455" s="234">
        <v>1044140077</v>
      </c>
      <c r="Q4455" s="228">
        <v>44593</v>
      </c>
      <c r="R4455" s="229">
        <v>265300</v>
      </c>
      <c r="S4455" s="229">
        <v>339500</v>
      </c>
      <c r="T4455" s="30"/>
      <c r="U4455" s="146"/>
      <c r="V4455" s="146"/>
    </row>
    <row r="4456" spans="1:22" s="31" customFormat="1" ht="15" hidden="1" x14ac:dyDescent="0.25">
      <c r="A4456" s="31">
        <v>1732022</v>
      </c>
      <c r="B4456" s="139" t="s">
        <v>4135</v>
      </c>
      <c r="C4456" s="294"/>
      <c r="D4456" s="210">
        <v>37080000</v>
      </c>
      <c r="E4456" s="210">
        <f>+D4456</f>
        <v>37080000</v>
      </c>
      <c r="F4456" s="210"/>
      <c r="G4456" s="210"/>
      <c r="H4456" s="210"/>
      <c r="I4456" s="210"/>
      <c r="J4456" s="210"/>
      <c r="K4456" s="210"/>
      <c r="L4456" s="141">
        <f>+D4456</f>
        <v>37080000</v>
      </c>
      <c r="M4456" s="142"/>
      <c r="N4456" s="142"/>
      <c r="P4456" s="156"/>
      <c r="Q4456" s="156"/>
      <c r="R4456" s="158"/>
      <c r="S4456" s="158"/>
      <c r="T4456" s="30"/>
    </row>
    <row r="4457" spans="1:22" s="31" customFormat="1" ht="15" hidden="1" x14ac:dyDescent="0.25">
      <c r="B4457" s="89">
        <v>44607.125</v>
      </c>
      <c r="C4457" s="284" t="s">
        <v>4136</v>
      </c>
      <c r="D4457" s="285"/>
      <c r="E4457" s="285">
        <v>2781000</v>
      </c>
      <c r="F4457" s="201"/>
      <c r="G4457" s="201">
        <f>+E4457</f>
        <v>2781000</v>
      </c>
      <c r="H4457" s="202"/>
      <c r="I4457" s="202"/>
      <c r="J4457" s="202">
        <v>18873.98</v>
      </c>
      <c r="K4457" s="72">
        <f>+G4457-H4457-I4457-J4457</f>
        <v>2762126.02</v>
      </c>
      <c r="L4457" s="19">
        <f>+L4456-G4457</f>
        <v>34299000</v>
      </c>
      <c r="M4457" s="96"/>
      <c r="N4457" s="96"/>
      <c r="O4457" s="149">
        <f>+VLOOKUP(A4456,'[1]ANEXO 7 - PPTO VIG 2022'!$G$9:$AB$201,21,)-L4458</f>
        <v>0</v>
      </c>
      <c r="P4457" s="227">
        <v>9430087567</v>
      </c>
      <c r="Q4457" s="228">
        <v>44562</v>
      </c>
      <c r="R4457" s="229">
        <v>139100</v>
      </c>
      <c r="S4457" s="229">
        <v>178000</v>
      </c>
      <c r="T4457" s="30"/>
      <c r="U4457" s="146"/>
      <c r="V4457" s="146"/>
    </row>
    <row r="4458" spans="1:22" s="31" customFormat="1" ht="15" x14ac:dyDescent="0.25">
      <c r="B4458" s="215">
        <v>44628.125</v>
      </c>
      <c r="C4458" s="92" t="s">
        <v>4137</v>
      </c>
      <c r="D4458" s="23"/>
      <c r="E4458" s="23">
        <v>4635000</v>
      </c>
      <c r="F4458" s="93"/>
      <c r="G4458" s="93">
        <f>+E4458</f>
        <v>4635000</v>
      </c>
      <c r="H4458" s="94"/>
      <c r="I4458" s="94"/>
      <c r="J4458" s="94">
        <v>31456.63</v>
      </c>
      <c r="K4458" s="18">
        <f>+G4458-H4458-I4458-J4458</f>
        <v>4603543.37</v>
      </c>
      <c r="L4458" s="19">
        <f>+L4457-G4458</f>
        <v>29664000</v>
      </c>
      <c r="M4458" s="96"/>
      <c r="N4458" s="96"/>
      <c r="O4458" s="81"/>
      <c r="P4458" s="234">
        <v>9431373292</v>
      </c>
      <c r="Q4458" s="228">
        <v>44593</v>
      </c>
      <c r="R4458" s="237">
        <v>232500</v>
      </c>
      <c r="S4458" s="237">
        <v>297600</v>
      </c>
      <c r="T4458" s="30"/>
      <c r="U4458" s="146"/>
      <c r="V4458" s="146"/>
    </row>
    <row r="4459" spans="1:22" s="31" customFormat="1" ht="15" hidden="1" x14ac:dyDescent="0.25">
      <c r="A4459" s="31">
        <v>3122022</v>
      </c>
      <c r="B4459" s="139" t="s">
        <v>4138</v>
      </c>
      <c r="C4459" s="294"/>
      <c r="D4459" s="210">
        <v>72141200</v>
      </c>
      <c r="E4459" s="210">
        <f>+D4459</f>
        <v>72141200</v>
      </c>
      <c r="F4459" s="210"/>
      <c r="G4459" s="210"/>
      <c r="H4459" s="210"/>
      <c r="I4459" s="210"/>
      <c r="J4459" s="210"/>
      <c r="K4459" s="210"/>
      <c r="L4459" s="141">
        <f>+D4459</f>
        <v>72141200</v>
      </c>
      <c r="M4459" s="142"/>
      <c r="N4459" s="142"/>
      <c r="P4459" s="156"/>
      <c r="Q4459" s="156"/>
      <c r="R4459" s="158"/>
      <c r="S4459" s="158"/>
      <c r="T4459" s="30"/>
    </row>
    <row r="4460" spans="1:22" s="31" customFormat="1" ht="15" hidden="1" x14ac:dyDescent="0.25">
      <c r="B4460" s="89">
        <v>44607.125</v>
      </c>
      <c r="C4460" s="284" t="s">
        <v>4139</v>
      </c>
      <c r="D4460" s="285"/>
      <c r="E4460" s="285">
        <v>4208236</v>
      </c>
      <c r="F4460" s="201"/>
      <c r="G4460" s="201">
        <f>+E4460</f>
        <v>4208236</v>
      </c>
      <c r="H4460" s="202"/>
      <c r="I4460" s="202"/>
      <c r="J4460" s="202">
        <v>28560.29</v>
      </c>
      <c r="K4460" s="72">
        <f>+G4460-H4460-I4460-J4460</f>
        <v>4179675.71</v>
      </c>
      <c r="L4460" s="19">
        <f>+L4459-G4460</f>
        <v>67932964</v>
      </c>
      <c r="M4460" s="96"/>
      <c r="N4460" s="96"/>
      <c r="O4460" s="149">
        <f>+VLOOKUP(A4459,'[1]ANEXO 7 - PPTO VIG 2022'!$G$9:$AB$201,21,)-L4461</f>
        <v>0</v>
      </c>
      <c r="P4460" s="231">
        <v>55423343</v>
      </c>
      <c r="Q4460" s="232">
        <v>44531</v>
      </c>
      <c r="R4460" s="233">
        <v>1062500</v>
      </c>
      <c r="S4460" s="233">
        <v>1445000</v>
      </c>
      <c r="T4460" s="30"/>
      <c r="U4460" s="146"/>
      <c r="V4460" s="146"/>
    </row>
    <row r="4461" spans="1:22" s="31" customFormat="1" ht="15" x14ac:dyDescent="0.25">
      <c r="B4461" s="100">
        <v>44629.125</v>
      </c>
      <c r="C4461" s="92" t="s">
        <v>4140</v>
      </c>
      <c r="D4461" s="23"/>
      <c r="E4461" s="23">
        <v>9017650</v>
      </c>
      <c r="F4461" s="93"/>
      <c r="G4461" s="93">
        <f>+E4461</f>
        <v>9017650</v>
      </c>
      <c r="H4461" s="94"/>
      <c r="I4461" s="94">
        <v>312582.63</v>
      </c>
      <c r="J4461" s="94">
        <v>61200.63</v>
      </c>
      <c r="K4461" s="18">
        <f>+G4461-H4461-I4461-J4461</f>
        <v>8643866.7399999984</v>
      </c>
      <c r="L4461" s="19">
        <f>+L4460-G4461</f>
        <v>58915314</v>
      </c>
      <c r="M4461" s="96"/>
      <c r="N4461" s="96"/>
      <c r="O4461" s="81"/>
      <c r="P4461" s="234">
        <v>56186615</v>
      </c>
      <c r="Q4461" s="228">
        <v>44562</v>
      </c>
      <c r="R4461" s="236">
        <v>1062500</v>
      </c>
      <c r="S4461" s="236">
        <v>1445000</v>
      </c>
      <c r="T4461" s="30"/>
      <c r="U4461" s="146"/>
      <c r="V4461" s="146"/>
    </row>
    <row r="4462" spans="1:22" s="31" customFormat="1" ht="15" hidden="1" x14ac:dyDescent="0.25">
      <c r="A4462" s="31">
        <v>3602022</v>
      </c>
      <c r="B4462" s="139" t="s">
        <v>4141</v>
      </c>
      <c r="C4462" s="294"/>
      <c r="D4462" s="210">
        <v>111875167</v>
      </c>
      <c r="E4462" s="210">
        <f>+D4462</f>
        <v>111875167</v>
      </c>
      <c r="F4462" s="210"/>
      <c r="G4462" s="210"/>
      <c r="H4462" s="210"/>
      <c r="I4462" s="210"/>
      <c r="J4462" s="210"/>
      <c r="K4462" s="210"/>
      <c r="L4462" s="141">
        <f>+D4462</f>
        <v>111875167</v>
      </c>
      <c r="M4462" s="142"/>
      <c r="N4462" s="142"/>
      <c r="P4462" s="156"/>
      <c r="Q4462" s="156"/>
      <c r="R4462" s="158"/>
      <c r="S4462" s="158"/>
      <c r="T4462" s="30"/>
    </row>
    <row r="4463" spans="1:22" s="31" customFormat="1" ht="15" hidden="1" x14ac:dyDescent="0.25">
      <c r="B4463" s="89">
        <v>44607.125</v>
      </c>
      <c r="C4463" s="92" t="s">
        <v>4142</v>
      </c>
      <c r="D4463" s="23"/>
      <c r="E4463" s="23">
        <v>3914000</v>
      </c>
      <c r="F4463" s="93"/>
      <c r="G4463" s="93">
        <f>+E4463</f>
        <v>3914000</v>
      </c>
      <c r="H4463" s="94"/>
      <c r="I4463" s="94"/>
      <c r="J4463" s="94">
        <v>26662.93</v>
      </c>
      <c r="K4463" s="18">
        <f>+G4463-H4463-I4463-J4463</f>
        <v>3887337.07</v>
      </c>
      <c r="L4463" s="19">
        <f>+L4462-G4463</f>
        <v>107961167</v>
      </c>
      <c r="M4463" s="96"/>
      <c r="N4463" s="96"/>
      <c r="O4463" s="149">
        <f>+VLOOKUP(A4462,'[1]ANEXO 7 - PPTO VIG 2022'!$G$9:$AB$201,21,)-L4465</f>
        <v>0</v>
      </c>
      <c r="P4463" s="234">
        <v>9430255258</v>
      </c>
      <c r="Q4463" s="235">
        <v>44562</v>
      </c>
      <c r="R4463" s="236">
        <v>190000</v>
      </c>
      <c r="S4463" s="236">
        <v>243200</v>
      </c>
      <c r="T4463" s="30"/>
      <c r="U4463" s="146"/>
      <c r="V4463" s="146"/>
    </row>
    <row r="4464" spans="1:22" s="31" customFormat="1" ht="15" hidden="1" x14ac:dyDescent="0.25">
      <c r="B4464" s="215"/>
      <c r="C4464" s="216"/>
      <c r="D4464" s="217"/>
      <c r="E4464" s="217"/>
      <c r="F4464" s="219"/>
      <c r="G4464" s="219"/>
      <c r="H4464" s="218"/>
      <c r="I4464" s="218"/>
      <c r="J4464" s="218"/>
      <c r="K4464" s="72">
        <f t="shared" ref="K4464:K4465" si="844">+G4464-H4464-I4464-J4464</f>
        <v>0</v>
      </c>
      <c r="L4464" s="19">
        <f t="shared" ref="L4464:L4465" si="845">+L4463-G4464</f>
        <v>107961167</v>
      </c>
      <c r="M4464" s="96"/>
      <c r="N4464" s="96"/>
      <c r="O4464" s="81"/>
      <c r="P4464" s="234">
        <v>9430614917</v>
      </c>
      <c r="Q4464" s="235">
        <v>44562</v>
      </c>
      <c r="R4464" s="236">
        <v>14300</v>
      </c>
      <c r="S4464" s="236">
        <v>18300</v>
      </c>
      <c r="T4464" s="30"/>
      <c r="U4464" s="146"/>
      <c r="V4464" s="146"/>
    </row>
    <row r="4465" spans="1:22" s="31" customFormat="1" ht="15" x14ac:dyDescent="0.25">
      <c r="B4465" s="215">
        <v>44629.125</v>
      </c>
      <c r="C4465" s="92" t="s">
        <v>4143</v>
      </c>
      <c r="D4465" s="23"/>
      <c r="E4465" s="23">
        <v>9785000</v>
      </c>
      <c r="F4465" s="93"/>
      <c r="G4465" s="93">
        <f>+E4465</f>
        <v>9785000</v>
      </c>
      <c r="H4465" s="94"/>
      <c r="I4465" s="239">
        <v>600164.11</v>
      </c>
      <c r="J4465" s="239">
        <v>66408.45</v>
      </c>
      <c r="K4465" s="18">
        <f t="shared" si="844"/>
        <v>9118427.4400000013</v>
      </c>
      <c r="L4465" s="19">
        <f t="shared" si="845"/>
        <v>98176167</v>
      </c>
      <c r="M4465" s="96"/>
      <c r="N4465" s="96"/>
      <c r="O4465" s="81"/>
      <c r="P4465" s="234">
        <v>9431625914</v>
      </c>
      <c r="Q4465" s="235">
        <v>44593</v>
      </c>
      <c r="R4465" s="236">
        <v>489300</v>
      </c>
      <c r="S4465" s="236">
        <v>626300</v>
      </c>
      <c r="T4465" s="30"/>
      <c r="U4465" s="146"/>
      <c r="V4465" s="146"/>
    </row>
    <row r="4466" spans="1:22" s="31" customFormat="1" ht="15" hidden="1" x14ac:dyDescent="0.25">
      <c r="A4466" s="31">
        <v>3702022</v>
      </c>
      <c r="B4466" s="139" t="s">
        <v>4144</v>
      </c>
      <c r="C4466" s="294"/>
      <c r="D4466" s="210">
        <v>117678000</v>
      </c>
      <c r="E4466" s="210">
        <f>+D4466</f>
        <v>117678000</v>
      </c>
      <c r="F4466" s="210"/>
      <c r="G4466" s="210"/>
      <c r="H4466" s="210"/>
      <c r="I4466" s="210"/>
      <c r="J4466" s="210"/>
      <c r="K4466" s="210"/>
      <c r="L4466" s="141">
        <f>+D4466</f>
        <v>117678000</v>
      </c>
      <c r="M4466" s="142"/>
      <c r="N4466" s="142"/>
      <c r="P4466" s="156"/>
      <c r="Q4466" s="156"/>
      <c r="R4466" s="158"/>
      <c r="S4466" s="158"/>
      <c r="T4466" s="30"/>
    </row>
    <row r="4467" spans="1:22" s="31" customFormat="1" ht="15" hidden="1" x14ac:dyDescent="0.25">
      <c r="B4467" s="89">
        <v>44606.125</v>
      </c>
      <c r="C4467" s="284" t="s">
        <v>4145</v>
      </c>
      <c r="D4467" s="285"/>
      <c r="E4467" s="285">
        <v>3399000</v>
      </c>
      <c r="F4467" s="201"/>
      <c r="G4467" s="201">
        <f>+E4467</f>
        <v>3399000</v>
      </c>
      <c r="H4467" s="202"/>
      <c r="I4467" s="202"/>
      <c r="J4467" s="202">
        <v>23068.2</v>
      </c>
      <c r="K4467" s="72">
        <f>+G4467-H4467-I4467-J4467</f>
        <v>3375931.8</v>
      </c>
      <c r="L4467" s="19">
        <f>+L4466-G4467</f>
        <v>114279000</v>
      </c>
      <c r="M4467" s="96"/>
      <c r="N4467" s="96"/>
      <c r="O4467" s="149">
        <f>+VLOOKUP(A4466,'[1]ANEXO 7 - PPTO VIG 2022'!$G$9:$AB$201,21,)-L4468</f>
        <v>0</v>
      </c>
      <c r="P4467" s="234">
        <v>55926304</v>
      </c>
      <c r="Q4467" s="235">
        <v>44562</v>
      </c>
      <c r="R4467" s="236">
        <v>1500000</v>
      </c>
      <c r="S4467" s="236">
        <v>2040000</v>
      </c>
      <c r="T4467" s="30"/>
      <c r="U4467" s="146"/>
      <c r="V4467" s="146"/>
    </row>
    <row r="4468" spans="1:22" s="31" customFormat="1" ht="15" x14ac:dyDescent="0.25">
      <c r="B4468" s="215">
        <v>44634.083333333336</v>
      </c>
      <c r="C4468" s="92" t="s">
        <v>4146</v>
      </c>
      <c r="D4468" s="23"/>
      <c r="E4468" s="23">
        <v>9270000</v>
      </c>
      <c r="F4468" s="93"/>
      <c r="G4468" s="93">
        <f>+E4468</f>
        <v>9270000</v>
      </c>
      <c r="H4468" s="94"/>
      <c r="I4468" s="94">
        <v>730571.98</v>
      </c>
      <c r="J4468" s="94">
        <v>71008.2</v>
      </c>
      <c r="K4468" s="18">
        <f>+G4468-H4468-I4468-J4468</f>
        <v>8468419.8200000003</v>
      </c>
      <c r="L4468" s="19">
        <f>+L4467-G4468</f>
        <v>105009000</v>
      </c>
      <c r="M4468" s="96"/>
      <c r="N4468" s="96"/>
      <c r="O4468" s="81"/>
      <c r="P4468" s="231">
        <v>55926304</v>
      </c>
      <c r="Q4468" s="232">
        <v>44562</v>
      </c>
      <c r="R4468" s="233">
        <v>1500000</v>
      </c>
      <c r="S4468" s="233">
        <v>2040000</v>
      </c>
      <c r="T4468" s="30"/>
      <c r="U4468" s="146"/>
      <c r="V4468" s="146"/>
    </row>
    <row r="4469" spans="1:22" s="31" customFormat="1" ht="15" hidden="1" x14ac:dyDescent="0.25">
      <c r="A4469" s="31">
        <v>3822022</v>
      </c>
      <c r="B4469" s="139" t="s">
        <v>4147</v>
      </c>
      <c r="C4469" s="294"/>
      <c r="D4469" s="210">
        <v>62706263</v>
      </c>
      <c r="E4469" s="210">
        <f>+D4469</f>
        <v>62706263</v>
      </c>
      <c r="F4469" s="210"/>
      <c r="G4469" s="210"/>
      <c r="H4469" s="210"/>
      <c r="I4469" s="210"/>
      <c r="J4469" s="210"/>
      <c r="K4469" s="210"/>
      <c r="L4469" s="141">
        <f>+D4469</f>
        <v>62706263</v>
      </c>
      <c r="M4469" s="142"/>
      <c r="N4469" s="142"/>
      <c r="P4469" s="156"/>
      <c r="Q4469" s="156"/>
      <c r="R4469" s="158"/>
      <c r="S4469" s="158"/>
      <c r="T4469" s="30"/>
    </row>
    <row r="4470" spans="1:22" s="31" customFormat="1" ht="15" hidden="1" x14ac:dyDescent="0.25">
      <c r="B4470" s="89">
        <v>44606.125</v>
      </c>
      <c r="C4470" s="284" t="s">
        <v>4148</v>
      </c>
      <c r="D4470" s="285"/>
      <c r="E4470" s="285">
        <v>2022782</v>
      </c>
      <c r="F4470" s="201"/>
      <c r="G4470" s="201">
        <f>+E4470</f>
        <v>2022782</v>
      </c>
      <c r="H4470" s="202"/>
      <c r="I4470" s="202"/>
      <c r="J4470" s="202">
        <v>13728.14</v>
      </c>
      <c r="K4470" s="72">
        <f>+G4470-H4470-I4470-J4470</f>
        <v>2009053.86</v>
      </c>
      <c r="L4470" s="19">
        <f>+L4469-G4470</f>
        <v>60683481</v>
      </c>
      <c r="M4470" s="96"/>
      <c r="N4470" s="96"/>
      <c r="O4470" s="149">
        <f>+VLOOKUP(A4469,'[1]ANEXO 7 - PPTO VIG 2022'!$G$9:$AB$201,21,)-L4471</f>
        <v>0</v>
      </c>
      <c r="P4470" s="234">
        <v>8356333337</v>
      </c>
      <c r="Q4470" s="235">
        <v>44562</v>
      </c>
      <c r="R4470" s="236">
        <v>125000</v>
      </c>
      <c r="S4470" s="236">
        <v>160000</v>
      </c>
      <c r="T4470" s="30"/>
      <c r="U4470" s="146"/>
      <c r="V4470" s="146"/>
    </row>
    <row r="4471" spans="1:22" s="31" customFormat="1" ht="15" x14ac:dyDescent="0.25">
      <c r="B4471" s="215">
        <v>44635.083333333336</v>
      </c>
      <c r="C4471" s="92" t="s">
        <v>4149</v>
      </c>
      <c r="D4471" s="23"/>
      <c r="E4471" s="23">
        <v>5516680</v>
      </c>
      <c r="F4471" s="93"/>
      <c r="G4471" s="93">
        <f>+E4471</f>
        <v>5516680</v>
      </c>
      <c r="H4471" s="94"/>
      <c r="I4471" s="94"/>
      <c r="J4471" s="94">
        <v>37440.379999999997</v>
      </c>
      <c r="K4471" s="18">
        <f>+G4471-H4471-I4471-J4471</f>
        <v>5479239.6200000001</v>
      </c>
      <c r="L4471" s="19">
        <f>+L4470-G4471</f>
        <v>55166801</v>
      </c>
      <c r="M4471" s="96"/>
      <c r="N4471" s="96"/>
      <c r="O4471" s="81"/>
      <c r="P4471" s="234">
        <v>56951922</v>
      </c>
      <c r="Q4471" s="235">
        <v>44593</v>
      </c>
      <c r="R4471" s="237">
        <v>275900</v>
      </c>
      <c r="S4471" s="237">
        <v>353100</v>
      </c>
      <c r="T4471" s="30"/>
      <c r="U4471" s="146"/>
      <c r="V4471" s="146"/>
    </row>
    <row r="4472" spans="1:22" s="31" customFormat="1" ht="15" hidden="1" x14ac:dyDescent="0.25">
      <c r="A4472" s="31">
        <v>372022</v>
      </c>
      <c r="B4472" s="139" t="s">
        <v>4150</v>
      </c>
      <c r="C4472" s="294"/>
      <c r="D4472" s="210">
        <v>96075104</v>
      </c>
      <c r="E4472" s="210">
        <f>+D4472</f>
        <v>96075104</v>
      </c>
      <c r="F4472" s="210"/>
      <c r="G4472" s="210"/>
      <c r="H4472" s="210"/>
      <c r="I4472" s="210"/>
      <c r="J4472" s="210"/>
      <c r="K4472" s="210"/>
      <c r="L4472" s="141">
        <f>+D4472</f>
        <v>96075104</v>
      </c>
      <c r="M4472" s="142"/>
      <c r="N4472" s="142"/>
      <c r="P4472" s="156"/>
      <c r="Q4472" s="156"/>
      <c r="R4472" s="158"/>
      <c r="S4472" s="158"/>
      <c r="T4472" s="30"/>
    </row>
    <row r="4473" spans="1:22" s="31" customFormat="1" ht="15" hidden="1" x14ac:dyDescent="0.25">
      <c r="B4473" s="89">
        <v>44608.125</v>
      </c>
      <c r="C4473" s="284" t="s">
        <v>4151</v>
      </c>
      <c r="D4473" s="285"/>
      <c r="E4473" s="285">
        <v>10007823</v>
      </c>
      <c r="F4473" s="201"/>
      <c r="G4473" s="201">
        <f>+E4473</f>
        <v>10007823</v>
      </c>
      <c r="H4473" s="202"/>
      <c r="I4473" s="202">
        <v>422085.69</v>
      </c>
      <c r="J4473" s="202">
        <v>67920.69</v>
      </c>
      <c r="K4473" s="72">
        <f>+G4473-H4473-I4473-J4473</f>
        <v>9517816.620000001</v>
      </c>
      <c r="L4473" s="19">
        <f>+L4472-G4473</f>
        <v>86067281</v>
      </c>
      <c r="M4473" s="96"/>
      <c r="N4473" s="96"/>
      <c r="O4473" s="149">
        <f>+VLOOKUP(A4472,'[1]ANEXO 7 - PPTO VIG 2022'!$G$9:$AB$201,21,)-L4474</f>
        <v>0</v>
      </c>
      <c r="P4473" s="234">
        <v>56551349</v>
      </c>
      <c r="Q4473" s="235">
        <v>44562</v>
      </c>
      <c r="R4473" s="236">
        <v>600500</v>
      </c>
      <c r="S4473" s="236">
        <v>816900</v>
      </c>
      <c r="T4473" s="30"/>
      <c r="U4473" s="146"/>
      <c r="V4473" s="146"/>
    </row>
    <row r="4474" spans="1:22" s="31" customFormat="1" ht="15" x14ac:dyDescent="0.25">
      <c r="B4474" s="215">
        <v>44638.083333333336</v>
      </c>
      <c r="C4474" s="92" t="s">
        <v>4152</v>
      </c>
      <c r="D4474" s="23"/>
      <c r="E4474" s="23">
        <v>12009388</v>
      </c>
      <c r="F4474" s="93"/>
      <c r="G4474" s="93">
        <f>+E4474</f>
        <v>12009388</v>
      </c>
      <c r="H4474" s="94"/>
      <c r="I4474" s="94">
        <v>750782.7</v>
      </c>
      <c r="J4474" s="94">
        <v>81504.83</v>
      </c>
      <c r="K4474" s="18">
        <f>+G4474-H4474-I4474-J4474</f>
        <v>11177100.470000001</v>
      </c>
      <c r="L4474" s="19">
        <f>+L4473-G4474</f>
        <v>74057893</v>
      </c>
      <c r="M4474" s="96"/>
      <c r="N4474" s="96"/>
      <c r="O4474" s="81"/>
      <c r="P4474" s="234">
        <v>56833787</v>
      </c>
      <c r="Q4474" s="235">
        <v>44593</v>
      </c>
      <c r="R4474" s="236">
        <v>600500</v>
      </c>
      <c r="S4474" s="236">
        <v>816900</v>
      </c>
      <c r="T4474" s="30"/>
      <c r="U4474" s="146"/>
      <c r="V4474" s="146"/>
    </row>
    <row r="4475" spans="1:22" s="31" customFormat="1" ht="15" hidden="1" x14ac:dyDescent="0.25">
      <c r="A4475" s="31">
        <v>382022</v>
      </c>
      <c r="B4475" s="139" t="s">
        <v>4153</v>
      </c>
      <c r="C4475" s="294"/>
      <c r="D4475" s="210">
        <v>78557523</v>
      </c>
      <c r="E4475" s="210">
        <f>+D4475</f>
        <v>78557523</v>
      </c>
      <c r="F4475" s="210"/>
      <c r="G4475" s="210"/>
      <c r="H4475" s="210"/>
      <c r="I4475" s="210"/>
      <c r="J4475" s="210"/>
      <c r="K4475" s="210"/>
      <c r="L4475" s="141">
        <f>+D4475</f>
        <v>78557523</v>
      </c>
      <c r="M4475" s="142"/>
      <c r="N4475" s="142"/>
      <c r="P4475" s="156"/>
      <c r="Q4475" s="156"/>
      <c r="R4475" s="158"/>
      <c r="S4475" s="158"/>
      <c r="T4475" s="30"/>
    </row>
    <row r="4476" spans="1:22" s="31" customFormat="1" ht="15" hidden="1" x14ac:dyDescent="0.25">
      <c r="B4476" s="89">
        <v>44608.125</v>
      </c>
      <c r="C4476" s="284" t="s">
        <v>4154</v>
      </c>
      <c r="D4476" s="285"/>
      <c r="E4476" s="285">
        <v>5516680</v>
      </c>
      <c r="F4476" s="201"/>
      <c r="G4476" s="201">
        <f>+E4476</f>
        <v>5516680</v>
      </c>
      <c r="H4476" s="202"/>
      <c r="I4476" s="202">
        <v>8612.4699999999993</v>
      </c>
      <c r="J4476" s="202">
        <v>37440.379999999997</v>
      </c>
      <c r="K4476" s="72">
        <f>+G4476-H4476-I4476-J4476</f>
        <v>5470627.1500000004</v>
      </c>
      <c r="L4476" s="19">
        <f>+L4475-G4476</f>
        <v>73040843</v>
      </c>
      <c r="M4476" s="96"/>
      <c r="N4476" s="96"/>
      <c r="O4476" s="149">
        <f>+VLOOKUP(A4475,'[1]ANEXO 7 - PPTO VIG 2022'!$G$9:$AB$201,21,)-L4477</f>
        <v>0</v>
      </c>
      <c r="P4476" s="234">
        <v>9430367875</v>
      </c>
      <c r="Q4476" s="235">
        <v>44562</v>
      </c>
      <c r="R4476" s="236">
        <v>321400</v>
      </c>
      <c r="S4476" s="236">
        <v>411400</v>
      </c>
      <c r="T4476" s="30"/>
      <c r="U4476" s="146"/>
      <c r="V4476" s="146"/>
    </row>
    <row r="4477" spans="1:22" s="31" customFormat="1" ht="15" x14ac:dyDescent="0.25">
      <c r="B4477" s="215">
        <v>44642.083333333336</v>
      </c>
      <c r="C4477" s="92" t="s">
        <v>4155</v>
      </c>
      <c r="D4477" s="23"/>
      <c r="E4477" s="23">
        <v>6620016</v>
      </c>
      <c r="F4477" s="93"/>
      <c r="G4477" s="93">
        <f>+E4477</f>
        <v>6620016</v>
      </c>
      <c r="H4477" s="94"/>
      <c r="I4477" s="94">
        <v>147857.18</v>
      </c>
      <c r="J4477" s="94">
        <v>44928.46</v>
      </c>
      <c r="K4477" s="18">
        <f>+G4477-H4477-I4477-J4477</f>
        <v>6427230.3600000003</v>
      </c>
      <c r="L4477" s="19">
        <f>+L4476-G4477</f>
        <v>66420827</v>
      </c>
      <c r="M4477" s="96"/>
      <c r="N4477" s="96"/>
      <c r="O4477" s="81"/>
      <c r="P4477" s="234">
        <v>9431774855</v>
      </c>
      <c r="Q4477" s="235">
        <v>44593</v>
      </c>
      <c r="R4477" s="236">
        <v>331100</v>
      </c>
      <c r="S4477" s="236">
        <v>423700</v>
      </c>
      <c r="T4477" s="30"/>
      <c r="U4477" s="146"/>
      <c r="V4477" s="146"/>
    </row>
    <row r="4478" spans="1:22" s="31" customFormat="1" ht="15" hidden="1" x14ac:dyDescent="0.25">
      <c r="A4478" s="31">
        <v>3592022</v>
      </c>
      <c r="B4478" s="139" t="s">
        <v>4156</v>
      </c>
      <c r="C4478" s="294"/>
      <c r="D4478" s="210">
        <v>78795000</v>
      </c>
      <c r="E4478" s="210">
        <f>+D4478</f>
        <v>78795000</v>
      </c>
      <c r="F4478" s="210"/>
      <c r="G4478" s="210"/>
      <c r="H4478" s="210"/>
      <c r="I4478" s="210"/>
      <c r="J4478" s="210"/>
      <c r="K4478" s="210"/>
      <c r="L4478" s="141">
        <f>+D4478</f>
        <v>78795000</v>
      </c>
      <c r="M4478" s="142"/>
      <c r="N4478" s="142"/>
      <c r="P4478" s="156"/>
      <c r="Q4478" s="156"/>
      <c r="R4478" s="158"/>
      <c r="S4478" s="158"/>
      <c r="T4478" s="30"/>
    </row>
    <row r="4479" spans="1:22" s="31" customFormat="1" ht="15" hidden="1" x14ac:dyDescent="0.25">
      <c r="B4479" s="89">
        <v>44608.125</v>
      </c>
      <c r="C4479" s="284" t="s">
        <v>4157</v>
      </c>
      <c r="D4479" s="285"/>
      <c r="E4479" s="285">
        <v>2334667</v>
      </c>
      <c r="F4479" s="201"/>
      <c r="G4479" s="201">
        <f>+E4479</f>
        <v>2334667</v>
      </c>
      <c r="H4479" s="202"/>
      <c r="I4479" s="202"/>
      <c r="J4479" s="202">
        <v>15844.82</v>
      </c>
      <c r="K4479" s="72">
        <f>+G4479-H4479-I4479-J4479</f>
        <v>2318822.1800000002</v>
      </c>
      <c r="L4479" s="19">
        <f>+L4478-G4479</f>
        <v>76460333</v>
      </c>
      <c r="M4479" s="96"/>
      <c r="N4479" s="96"/>
      <c r="O4479" s="149">
        <f>+VLOOKUP(A4478,'[1]ANEXO 7 - PPTO VIG 2022'!$G$9:$AB$201,21,)-L4480</f>
        <v>0</v>
      </c>
      <c r="P4479" s="234">
        <v>7824348083</v>
      </c>
      <c r="Q4479" s="235">
        <v>44562</v>
      </c>
      <c r="R4479" s="236">
        <v>425000</v>
      </c>
      <c r="S4479" s="236">
        <v>544000</v>
      </c>
      <c r="T4479" s="30"/>
      <c r="U4479" s="146"/>
      <c r="V4479" s="146"/>
    </row>
    <row r="4480" spans="1:22" s="31" customFormat="1" ht="15" x14ac:dyDescent="0.25">
      <c r="B4480" s="215">
        <v>44629.125</v>
      </c>
      <c r="C4480" s="92" t="s">
        <v>4158</v>
      </c>
      <c r="D4480" s="23"/>
      <c r="E4480" s="23">
        <v>8755000</v>
      </c>
      <c r="F4480" s="93"/>
      <c r="G4480" s="93">
        <f>+E4480</f>
        <v>8755000</v>
      </c>
      <c r="H4480" s="94"/>
      <c r="I4480" s="94">
        <v>254896.17</v>
      </c>
      <c r="J4480" s="94">
        <v>59640.76</v>
      </c>
      <c r="K4480" s="18">
        <f>+G4480-H4480-I4480-J4480</f>
        <v>8440463.0700000003</v>
      </c>
      <c r="L4480" s="19">
        <f>+L4479-G4480</f>
        <v>67705333</v>
      </c>
      <c r="M4480" s="96"/>
      <c r="N4480" s="96"/>
      <c r="O4480" s="81"/>
      <c r="P4480" s="234">
        <v>7827114229</v>
      </c>
      <c r="Q4480" s="235">
        <v>44593</v>
      </c>
      <c r="R4480" s="236">
        <v>425000</v>
      </c>
      <c r="S4480" s="236">
        <v>544000</v>
      </c>
      <c r="T4480" s="30"/>
      <c r="U4480" s="146"/>
      <c r="V4480" s="146"/>
    </row>
    <row r="4481" spans="1:22" s="31" customFormat="1" ht="15" hidden="1" x14ac:dyDescent="0.25">
      <c r="A4481" s="31">
        <v>862022</v>
      </c>
      <c r="B4481" s="139" t="s">
        <v>4159</v>
      </c>
      <c r="C4481" s="294"/>
      <c r="D4481" s="210">
        <v>109695000</v>
      </c>
      <c r="E4481" s="210">
        <f>+D4481</f>
        <v>109695000</v>
      </c>
      <c r="F4481" s="210"/>
      <c r="G4481" s="210"/>
      <c r="H4481" s="210"/>
      <c r="I4481" s="210"/>
      <c r="J4481" s="210"/>
      <c r="K4481" s="210"/>
      <c r="L4481" s="141">
        <f>+D4481</f>
        <v>109695000</v>
      </c>
      <c r="M4481" s="142"/>
      <c r="N4481" s="142"/>
      <c r="P4481" s="156"/>
      <c r="Q4481" s="156"/>
      <c r="R4481" s="158"/>
      <c r="S4481" s="158"/>
      <c r="T4481" s="30"/>
    </row>
    <row r="4482" spans="1:22" s="31" customFormat="1" ht="15" hidden="1" x14ac:dyDescent="0.25">
      <c r="B4482" s="89">
        <v>44614.125</v>
      </c>
      <c r="C4482" s="284" t="s">
        <v>4160</v>
      </c>
      <c r="D4482" s="285"/>
      <c r="E4482" s="285">
        <v>6489000</v>
      </c>
      <c r="F4482" s="201"/>
      <c r="G4482" s="201">
        <f>+E4482</f>
        <v>6489000</v>
      </c>
      <c r="H4482" s="202"/>
      <c r="I4482" s="202">
        <v>33389.74</v>
      </c>
      <c r="J4482" s="202">
        <v>44039.29</v>
      </c>
      <c r="K4482" s="72">
        <f>+G4482-H4482-I4482-J4482</f>
        <v>6411570.9699999997</v>
      </c>
      <c r="L4482" s="19">
        <f>+L4481-G4482</f>
        <v>103206000</v>
      </c>
      <c r="M4482" s="96"/>
      <c r="N4482" s="96"/>
      <c r="O4482" s="149">
        <f>+VLOOKUP(A4481,'[1]ANEXO 7 - PPTO VIG 2022'!$G$9:$AB$201,21,)-L4483</f>
        <v>0</v>
      </c>
      <c r="P4482" s="234">
        <v>1043446730</v>
      </c>
      <c r="Q4482" s="235">
        <v>44562</v>
      </c>
      <c r="R4482" s="236">
        <v>1250000</v>
      </c>
      <c r="S4482" s="236">
        <v>1700000</v>
      </c>
      <c r="T4482" s="30"/>
      <c r="U4482" s="146"/>
      <c r="V4482" s="146"/>
    </row>
    <row r="4483" spans="1:22" s="31" customFormat="1" ht="15" x14ac:dyDescent="0.25">
      <c r="B4483" s="215">
        <v>44638.083333333336</v>
      </c>
      <c r="C4483" s="92" t="s">
        <v>4161</v>
      </c>
      <c r="D4483" s="23"/>
      <c r="E4483" s="23">
        <v>9270000</v>
      </c>
      <c r="F4483" s="93"/>
      <c r="G4483" s="93">
        <f>+E4483</f>
        <v>9270000</v>
      </c>
      <c r="H4483" s="94"/>
      <c r="I4483" s="94">
        <v>345616.66</v>
      </c>
      <c r="J4483" s="94">
        <v>62913.27</v>
      </c>
      <c r="K4483" s="18">
        <f>+G4483-H4483-I4483-J4483</f>
        <v>8861470.0700000003</v>
      </c>
      <c r="L4483" s="19">
        <f>+L4482-G4483</f>
        <v>93936000</v>
      </c>
      <c r="M4483" s="96"/>
      <c r="N4483" s="96"/>
      <c r="O4483" s="81"/>
      <c r="P4483" s="234">
        <v>1044320677</v>
      </c>
      <c r="Q4483" s="235">
        <v>44593</v>
      </c>
      <c r="R4483" s="236">
        <v>1125000</v>
      </c>
      <c r="S4483" s="236">
        <v>1530000</v>
      </c>
      <c r="T4483" s="30"/>
      <c r="U4483" s="146"/>
      <c r="V4483" s="146"/>
    </row>
    <row r="4484" spans="1:22" s="31" customFormat="1" ht="15" hidden="1" x14ac:dyDescent="0.25">
      <c r="A4484" s="31">
        <v>3662022</v>
      </c>
      <c r="B4484" s="139" t="s">
        <v>4162</v>
      </c>
      <c r="C4484" s="294"/>
      <c r="D4484" s="210">
        <v>44133440</v>
      </c>
      <c r="E4484" s="210">
        <f>+D4484</f>
        <v>44133440</v>
      </c>
      <c r="F4484" s="210"/>
      <c r="G4484" s="210"/>
      <c r="H4484" s="210"/>
      <c r="I4484" s="210"/>
      <c r="J4484" s="210"/>
      <c r="K4484" s="210"/>
      <c r="L4484" s="141">
        <f>+D4484</f>
        <v>44133440</v>
      </c>
      <c r="M4484" s="142"/>
      <c r="N4484" s="142"/>
      <c r="P4484" s="156"/>
      <c r="Q4484" s="156"/>
      <c r="R4484" s="158"/>
      <c r="S4484" s="158"/>
      <c r="T4484" s="30"/>
    </row>
    <row r="4485" spans="1:22" s="31" customFormat="1" ht="15" hidden="1" x14ac:dyDescent="0.25">
      <c r="B4485" s="89">
        <v>44614.125</v>
      </c>
      <c r="C4485" s="284" t="s">
        <v>4163</v>
      </c>
      <c r="D4485" s="285"/>
      <c r="E4485" s="285">
        <v>1471115</v>
      </c>
      <c r="F4485" s="201"/>
      <c r="G4485" s="201">
        <f>+E4485</f>
        <v>1471115</v>
      </c>
      <c r="H4485" s="202"/>
      <c r="I4485" s="202"/>
      <c r="J4485" s="202">
        <v>11268.74</v>
      </c>
      <c r="K4485" s="72">
        <f>+G4485-H4485-I4485-J4485</f>
        <v>1459846.26</v>
      </c>
      <c r="L4485" s="19">
        <f>+L4484-G4485</f>
        <v>42662325</v>
      </c>
      <c r="M4485" s="96"/>
      <c r="N4485" s="96"/>
      <c r="O4485" s="149">
        <f>+VLOOKUP(A4484,'[1]ANEXO 7 - PPTO VIG 2022'!$G$9:$AB$201,21,)-L4486</f>
        <v>0</v>
      </c>
      <c r="P4485" s="231">
        <v>9428240982</v>
      </c>
      <c r="Q4485" s="232">
        <v>44531</v>
      </c>
      <c r="R4485" s="233">
        <v>267800</v>
      </c>
      <c r="S4485" s="233">
        <v>342800</v>
      </c>
      <c r="T4485" s="30"/>
      <c r="U4485" s="146"/>
      <c r="V4485" s="146"/>
    </row>
    <row r="4486" spans="1:22" s="31" customFormat="1" ht="15" x14ac:dyDescent="0.25">
      <c r="B4486" s="215">
        <v>44629.125</v>
      </c>
      <c r="C4486" s="92" t="s">
        <v>4164</v>
      </c>
      <c r="D4486" s="23"/>
      <c r="E4486" s="23">
        <v>5516680</v>
      </c>
      <c r="F4486" s="93"/>
      <c r="G4486" s="93">
        <f>+E4486</f>
        <v>5516680</v>
      </c>
      <c r="H4486" s="94"/>
      <c r="I4486" s="94"/>
      <c r="J4486" s="94">
        <v>37440.379999999997</v>
      </c>
      <c r="K4486" s="18">
        <f>+G4486-H4486-I4486-J4486</f>
        <v>5479239.6200000001</v>
      </c>
      <c r="L4486" s="19">
        <f>+L4485-G4486</f>
        <v>37145645</v>
      </c>
      <c r="M4486" s="96"/>
      <c r="N4486" s="96"/>
      <c r="O4486" s="81"/>
      <c r="P4486" s="234">
        <v>9431367429</v>
      </c>
      <c r="Q4486" s="235">
        <v>44562</v>
      </c>
      <c r="R4486" s="237">
        <v>275900</v>
      </c>
      <c r="S4486" s="237">
        <v>353100</v>
      </c>
      <c r="T4486" s="30"/>
      <c r="U4486" s="146"/>
      <c r="V4486" s="146"/>
    </row>
    <row r="4487" spans="1:22" s="31" customFormat="1" ht="15" hidden="1" x14ac:dyDescent="0.25">
      <c r="A4487" s="31">
        <v>4142022</v>
      </c>
      <c r="B4487" s="139" t="s">
        <v>4165</v>
      </c>
      <c r="C4487" s="294"/>
      <c r="D4487" s="210">
        <v>44133440</v>
      </c>
      <c r="E4487" s="210">
        <f>+D4487</f>
        <v>44133440</v>
      </c>
      <c r="F4487" s="210"/>
      <c r="G4487" s="210"/>
      <c r="H4487" s="210"/>
      <c r="I4487" s="210"/>
      <c r="J4487" s="210"/>
      <c r="K4487" s="210"/>
      <c r="L4487" s="141">
        <f>+D4487</f>
        <v>44133440</v>
      </c>
      <c r="M4487" s="142"/>
      <c r="N4487" s="142"/>
      <c r="P4487" s="156"/>
      <c r="Q4487" s="156"/>
      <c r="R4487" s="158"/>
      <c r="S4487" s="158"/>
      <c r="T4487" s="30"/>
    </row>
    <row r="4488" spans="1:22" s="31" customFormat="1" ht="15" hidden="1" x14ac:dyDescent="0.25">
      <c r="B4488" s="89">
        <v>44614.125</v>
      </c>
      <c r="C4488" s="284" t="s">
        <v>4166</v>
      </c>
      <c r="D4488" s="285"/>
      <c r="E4488" s="285">
        <v>1287225</v>
      </c>
      <c r="F4488" s="201"/>
      <c r="G4488" s="201">
        <f>+E4488</f>
        <v>1287225</v>
      </c>
      <c r="H4488" s="202"/>
      <c r="I4488" s="202"/>
      <c r="J4488" s="202">
        <v>8736.09</v>
      </c>
      <c r="K4488" s="72">
        <f>+G4488-H4488-I4488-J4488</f>
        <v>1278488.9099999999</v>
      </c>
      <c r="L4488" s="19">
        <f>+L4487-G4488</f>
        <v>42846215</v>
      </c>
      <c r="M4488" s="96"/>
      <c r="N4488" s="96"/>
      <c r="O4488" s="149">
        <f>+VLOOKUP(A4487,'[1]ANEXO 7 - PPTO VIG 2022'!$G$9:$AB$201,21,)-L4489</f>
        <v>0</v>
      </c>
      <c r="P4488" s="234">
        <v>55925001</v>
      </c>
      <c r="Q4488" s="235">
        <v>44562</v>
      </c>
      <c r="R4488" s="236">
        <v>350000</v>
      </c>
      <c r="S4488" s="236">
        <v>448000</v>
      </c>
      <c r="T4488" s="30"/>
      <c r="U4488" s="146"/>
      <c r="V4488" s="146"/>
    </row>
    <row r="4489" spans="1:22" s="31" customFormat="1" ht="15" x14ac:dyDescent="0.25">
      <c r="B4489" s="215">
        <v>44629.125</v>
      </c>
      <c r="C4489" s="92" t="s">
        <v>4167</v>
      </c>
      <c r="D4489" s="23"/>
      <c r="E4489" s="23">
        <v>5516680</v>
      </c>
      <c r="F4489" s="93"/>
      <c r="G4489" s="93">
        <f>+E4489</f>
        <v>5516680</v>
      </c>
      <c r="H4489" s="94"/>
      <c r="I4489" s="94"/>
      <c r="J4489" s="94">
        <v>37440.379999999997</v>
      </c>
      <c r="K4489" s="18">
        <f>+G4489-H4489-I4489-J4489</f>
        <v>5479239.6200000001</v>
      </c>
      <c r="L4489" s="19">
        <f>+L4488-G4489</f>
        <v>37329535</v>
      </c>
      <c r="M4489" s="96"/>
      <c r="N4489" s="96"/>
      <c r="O4489" s="81"/>
      <c r="P4489" s="234">
        <v>56577901</v>
      </c>
      <c r="Q4489" s="235">
        <v>44593</v>
      </c>
      <c r="R4489" s="236">
        <v>350000</v>
      </c>
      <c r="S4489" s="236">
        <v>448000</v>
      </c>
      <c r="T4489" s="30"/>
      <c r="U4489" s="146"/>
      <c r="V4489" s="146"/>
    </row>
    <row r="4490" spans="1:22" s="31" customFormat="1" ht="15" hidden="1" x14ac:dyDescent="0.25">
      <c r="A4490" s="31">
        <v>4442022</v>
      </c>
      <c r="B4490" s="139" t="s">
        <v>4168</v>
      </c>
      <c r="C4490" s="294"/>
      <c r="D4490" s="210">
        <v>42900000</v>
      </c>
      <c r="E4490" s="210">
        <f>+D4490</f>
        <v>42900000</v>
      </c>
      <c r="F4490" s="210"/>
      <c r="G4490" s="210"/>
      <c r="H4490" s="210"/>
      <c r="I4490" s="210"/>
      <c r="J4490" s="210"/>
      <c r="K4490" s="210"/>
      <c r="L4490" s="141">
        <f>+D4490</f>
        <v>42900000</v>
      </c>
      <c r="M4490" s="142"/>
      <c r="N4490" s="142"/>
      <c r="P4490" s="156"/>
      <c r="Q4490" s="156"/>
      <c r="R4490" s="158"/>
      <c r="S4490" s="158"/>
      <c r="T4490" s="30"/>
    </row>
    <row r="4491" spans="1:22" s="31" customFormat="1" ht="15" hidden="1" x14ac:dyDescent="0.25">
      <c r="B4491" s="89">
        <v>44613.125</v>
      </c>
      <c r="C4491" s="284" t="s">
        <v>4169</v>
      </c>
      <c r="D4491" s="285"/>
      <c r="E4491" s="285">
        <v>1030000</v>
      </c>
      <c r="F4491" s="201"/>
      <c r="G4491" s="201">
        <f>+E4491</f>
        <v>1030000</v>
      </c>
      <c r="H4491" s="202"/>
      <c r="I4491" s="202"/>
      <c r="J4491" s="202">
        <v>6990.36</v>
      </c>
      <c r="K4491" s="72">
        <f>+G4491-H4491-I4491-J4491</f>
        <v>1023009.64</v>
      </c>
      <c r="L4491" s="19">
        <f>+L4490-G4491</f>
        <v>41870000</v>
      </c>
      <c r="M4491" s="96"/>
      <c r="N4491" s="96"/>
      <c r="O4491" s="149">
        <f>+VLOOKUP(A4490,'[1]ANEXO 7 - PPTO VIG 2022'!$G$9:$AB$201,21,)-L4492</f>
        <v>0</v>
      </c>
      <c r="P4491" s="234">
        <v>56376271</v>
      </c>
      <c r="Q4491" s="235">
        <v>44562</v>
      </c>
      <c r="R4491" s="236">
        <v>125000</v>
      </c>
      <c r="S4491" s="236">
        <v>160000</v>
      </c>
      <c r="T4491" s="30"/>
      <c r="U4491" s="146"/>
      <c r="V4491" s="146"/>
    </row>
    <row r="4492" spans="1:22" s="31" customFormat="1" ht="15" x14ac:dyDescent="0.25">
      <c r="B4492" s="215">
        <v>44642.083333333336</v>
      </c>
      <c r="C4492" s="92" t="s">
        <v>4170</v>
      </c>
      <c r="D4492" s="23"/>
      <c r="E4492" s="23">
        <v>5150000</v>
      </c>
      <c r="F4492" s="93"/>
      <c r="G4492" s="93">
        <f>+E4492</f>
        <v>5150000</v>
      </c>
      <c r="H4492" s="94"/>
      <c r="I4492" s="94"/>
      <c r="J4492" s="94">
        <v>34951.81</v>
      </c>
      <c r="K4492" s="18">
        <f>+G4492-H4492-I4492-J4492</f>
        <v>5115048.1900000004</v>
      </c>
      <c r="L4492" s="19">
        <f>+L4491-G4492</f>
        <v>36720000</v>
      </c>
      <c r="M4492" s="96"/>
      <c r="N4492" s="96"/>
      <c r="O4492" s="81"/>
      <c r="P4492" s="234">
        <v>57162636</v>
      </c>
      <c r="Q4492" s="235">
        <v>44593</v>
      </c>
      <c r="R4492" s="236">
        <v>257500</v>
      </c>
      <c r="S4492" s="236">
        <v>329600</v>
      </c>
      <c r="T4492" s="30"/>
      <c r="U4492" s="146"/>
      <c r="V4492" s="146"/>
    </row>
    <row r="4493" spans="1:22" s="31" customFormat="1" ht="15" hidden="1" x14ac:dyDescent="0.25">
      <c r="A4493" s="31">
        <v>352022</v>
      </c>
      <c r="B4493" s="139" t="s">
        <v>4171</v>
      </c>
      <c r="C4493" s="294"/>
      <c r="D4493" s="210">
        <v>56864240</v>
      </c>
      <c r="E4493" s="210">
        <f>+D4493</f>
        <v>56864240</v>
      </c>
      <c r="F4493" s="210"/>
      <c r="G4493" s="210"/>
      <c r="H4493" s="210"/>
      <c r="I4493" s="210"/>
      <c r="J4493" s="210"/>
      <c r="K4493" s="210"/>
      <c r="L4493" s="141">
        <f>+D4493</f>
        <v>56864240</v>
      </c>
      <c r="M4493" s="142"/>
      <c r="N4493" s="142"/>
      <c r="P4493" s="156"/>
      <c r="Q4493" s="156"/>
      <c r="R4493" s="158"/>
      <c r="S4493" s="158"/>
      <c r="T4493" s="30"/>
    </row>
    <row r="4494" spans="1:22" s="31" customFormat="1" ht="15" hidden="1" x14ac:dyDescent="0.25">
      <c r="B4494" s="89">
        <v>44614.125</v>
      </c>
      <c r="C4494" s="284" t="s">
        <v>4172</v>
      </c>
      <c r="D4494" s="285"/>
      <c r="E4494" s="285">
        <v>5923358</v>
      </c>
      <c r="F4494" s="201"/>
      <c r="G4494" s="201">
        <f>+E4494</f>
        <v>5923358</v>
      </c>
      <c r="H4494" s="202"/>
      <c r="I4494" s="202">
        <v>59758.1</v>
      </c>
      <c r="J4494" s="202">
        <v>40200.410000000003</v>
      </c>
      <c r="K4494" s="72">
        <f>+G4494-H4494-I4494-J4494</f>
        <v>5823399.4900000002</v>
      </c>
      <c r="L4494" s="19">
        <f>+L4493-G4494</f>
        <v>50940882</v>
      </c>
      <c r="M4494" s="96"/>
      <c r="N4494" s="96"/>
      <c r="O4494" s="149">
        <f>+VLOOKUP(A4493,'[1]ANEXO 7 - PPTO VIG 2022'!$G$9:$AB$201,21,)-L4495</f>
        <v>0</v>
      </c>
      <c r="P4494" s="234">
        <v>7825047656</v>
      </c>
      <c r="Q4494" s="235">
        <v>44562</v>
      </c>
      <c r="R4494" s="236">
        <v>355500</v>
      </c>
      <c r="S4494" s="236">
        <v>455000</v>
      </c>
      <c r="T4494" s="30"/>
      <c r="U4494" s="146"/>
      <c r="V4494" s="146"/>
    </row>
    <row r="4495" spans="1:22" s="31" customFormat="1" ht="15" x14ac:dyDescent="0.25">
      <c r="B4495" s="215">
        <v>44635.083333333336</v>
      </c>
      <c r="C4495" s="92" t="s">
        <v>4173</v>
      </c>
      <c r="D4495" s="23"/>
      <c r="E4495" s="23">
        <v>7108030</v>
      </c>
      <c r="F4495" s="93"/>
      <c r="G4495" s="93">
        <f>+E4495</f>
        <v>7108030</v>
      </c>
      <c r="H4495" s="94"/>
      <c r="I4495" s="94">
        <v>209328.88</v>
      </c>
      <c r="J4495" s="94">
        <v>48240.49</v>
      </c>
      <c r="K4495" s="18">
        <f>+G4495-H4495-I4495-J4495</f>
        <v>6850460.6299999999</v>
      </c>
      <c r="L4495" s="19">
        <f>+L4494-G4495</f>
        <v>43832852</v>
      </c>
      <c r="M4495" s="96"/>
      <c r="N4495" s="96"/>
      <c r="O4495" s="81"/>
      <c r="P4495" s="234">
        <v>7827756077</v>
      </c>
      <c r="Q4495" s="235">
        <v>44593</v>
      </c>
      <c r="R4495" s="236">
        <v>355500</v>
      </c>
      <c r="S4495" s="236">
        <v>455000</v>
      </c>
      <c r="T4495" s="30"/>
      <c r="U4495" s="146"/>
      <c r="V4495" s="146"/>
    </row>
    <row r="4496" spans="1:22" s="31" customFormat="1" ht="15" hidden="1" x14ac:dyDescent="0.25">
      <c r="A4496" s="31">
        <v>3892022</v>
      </c>
      <c r="B4496" s="139" t="s">
        <v>4174</v>
      </c>
      <c r="C4496" s="294"/>
      <c r="D4496" s="210">
        <v>39720096</v>
      </c>
      <c r="E4496" s="210">
        <f>+D4496</f>
        <v>39720096</v>
      </c>
      <c r="F4496" s="210"/>
      <c r="G4496" s="210"/>
      <c r="H4496" s="210"/>
      <c r="I4496" s="210"/>
      <c r="J4496" s="210"/>
      <c r="K4496" s="210"/>
      <c r="L4496" s="141">
        <f>+D4496</f>
        <v>39720096</v>
      </c>
      <c r="M4496" s="142"/>
      <c r="N4496" s="142"/>
      <c r="P4496" s="156"/>
      <c r="Q4496" s="156"/>
      <c r="R4496" s="158"/>
      <c r="S4496" s="158"/>
      <c r="T4496" s="30"/>
    </row>
    <row r="4497" spans="1:22" s="31" customFormat="1" ht="15" hidden="1" x14ac:dyDescent="0.25">
      <c r="B4497" s="89">
        <v>44614.125</v>
      </c>
      <c r="C4497" s="284" t="s">
        <v>4175</v>
      </c>
      <c r="D4497" s="285"/>
      <c r="E4497" s="285">
        <v>1324003</v>
      </c>
      <c r="F4497" s="201"/>
      <c r="G4497" s="201">
        <f>+E4497</f>
        <v>1324003</v>
      </c>
      <c r="H4497" s="202"/>
      <c r="I4497" s="202"/>
      <c r="J4497" s="202">
        <v>8985.69</v>
      </c>
      <c r="K4497" s="72">
        <f>+G4497-H4497-I4497-J4497</f>
        <v>1315017.31</v>
      </c>
      <c r="L4497" s="19">
        <f>+L4496-G4497</f>
        <v>38396093</v>
      </c>
      <c r="M4497" s="96"/>
      <c r="N4497" s="96"/>
      <c r="O4497" s="149">
        <f>+VLOOKUP(A4496,'[1]ANEXO 7 - PPTO VIG 2022'!$G$9:$AB$201,21,)-L4498</f>
        <v>0</v>
      </c>
      <c r="P4497" s="234">
        <v>7820324295</v>
      </c>
      <c r="Q4497" s="235">
        <v>44531</v>
      </c>
      <c r="R4497" s="236">
        <v>321400</v>
      </c>
      <c r="S4497" s="236">
        <v>411400</v>
      </c>
      <c r="T4497" s="30"/>
      <c r="U4497" s="146"/>
      <c r="V4497" s="146"/>
    </row>
    <row r="4498" spans="1:22" s="31" customFormat="1" ht="15" x14ac:dyDescent="0.25">
      <c r="B4498" s="215">
        <v>44636.083333333336</v>
      </c>
      <c r="C4498" s="92" t="s">
        <v>4176</v>
      </c>
      <c r="D4498" s="23"/>
      <c r="E4498" s="23">
        <v>6620016</v>
      </c>
      <c r="F4498" s="93"/>
      <c r="G4498" s="93">
        <f>+E4498</f>
        <v>6620016</v>
      </c>
      <c r="H4498" s="94"/>
      <c r="I4498" s="94">
        <v>139290.09</v>
      </c>
      <c r="J4498" s="94">
        <v>49455.38</v>
      </c>
      <c r="K4498" s="18">
        <f>+G4498-H4498-I4498-J4498</f>
        <v>6431270.5300000003</v>
      </c>
      <c r="L4498" s="19">
        <f>+L4497-G4498</f>
        <v>31776077</v>
      </c>
      <c r="M4498" s="96"/>
      <c r="N4498" s="96"/>
      <c r="O4498" s="81"/>
      <c r="P4498" s="234">
        <v>7830287126</v>
      </c>
      <c r="Q4498" s="235">
        <v>44562</v>
      </c>
      <c r="R4498" s="236">
        <v>46800</v>
      </c>
      <c r="S4498" s="236">
        <v>59900</v>
      </c>
      <c r="T4498" s="30"/>
      <c r="U4498" s="146"/>
      <c r="V4498" s="146"/>
    </row>
    <row r="4499" spans="1:22" s="31" customFormat="1" ht="15" hidden="1" x14ac:dyDescent="0.25">
      <c r="B4499" s="215"/>
      <c r="C4499" s="216"/>
      <c r="D4499" s="217"/>
      <c r="E4499" s="217"/>
      <c r="F4499" s="219"/>
      <c r="G4499" s="219"/>
      <c r="H4499" s="218"/>
      <c r="I4499" s="218"/>
      <c r="J4499" s="218"/>
      <c r="K4499" s="41"/>
      <c r="L4499" s="20"/>
      <c r="M4499" s="96"/>
      <c r="N4499" s="96"/>
      <c r="O4499" s="81"/>
      <c r="P4499" s="234">
        <v>7827451780</v>
      </c>
      <c r="Q4499" s="235">
        <v>44593</v>
      </c>
      <c r="R4499" s="236">
        <v>25000</v>
      </c>
      <c r="S4499" s="236">
        <v>32000</v>
      </c>
      <c r="T4499" s="30"/>
      <c r="U4499" s="146"/>
      <c r="V4499" s="146"/>
    </row>
    <row r="4500" spans="1:22" s="31" customFormat="1" ht="15" hidden="1" x14ac:dyDescent="0.25">
      <c r="A4500" s="31">
        <v>4342022</v>
      </c>
      <c r="B4500" s="139" t="s">
        <v>4177</v>
      </c>
      <c r="C4500" s="140"/>
      <c r="D4500" s="141">
        <v>52960128</v>
      </c>
      <c r="E4500" s="141">
        <f>+D4500</f>
        <v>52960128</v>
      </c>
      <c r="F4500" s="141"/>
      <c r="G4500" s="141"/>
      <c r="H4500" s="141"/>
      <c r="I4500" s="141"/>
      <c r="J4500" s="141"/>
      <c r="K4500" s="141"/>
      <c r="L4500" s="141">
        <f>+D4500</f>
        <v>52960128</v>
      </c>
      <c r="M4500" s="142"/>
      <c r="N4500" s="142"/>
      <c r="P4500" s="156"/>
      <c r="Q4500" s="156"/>
      <c r="R4500" s="158"/>
      <c r="S4500" s="158"/>
      <c r="T4500" s="30"/>
    </row>
    <row r="4501" spans="1:22" s="31" customFormat="1" ht="15" hidden="1" x14ac:dyDescent="0.25">
      <c r="B4501" s="89">
        <v>44613.125</v>
      </c>
      <c r="C4501" s="284" t="s">
        <v>4178</v>
      </c>
      <c r="D4501" s="285"/>
      <c r="E4501" s="285">
        <v>1324003</v>
      </c>
      <c r="F4501" s="201"/>
      <c r="G4501" s="201">
        <f>+E4501</f>
        <v>1324003</v>
      </c>
      <c r="H4501" s="202"/>
      <c r="I4501" s="202"/>
      <c r="J4501" s="202">
        <v>8985.69</v>
      </c>
      <c r="K4501" s="72">
        <f>+G4501-H4501-I4501-J4501</f>
        <v>1315017.31</v>
      </c>
      <c r="L4501" s="19">
        <f>+L4500-G4501</f>
        <v>51636125</v>
      </c>
      <c r="M4501" s="96"/>
      <c r="N4501" s="96"/>
      <c r="O4501" s="149">
        <f>+VLOOKUP(A4500,'[1]ANEXO 7 - PPTO VIG 2022'!$G$9:$AB$201,21,)-L4502</f>
        <v>0</v>
      </c>
      <c r="P4501" s="234">
        <v>56051712</v>
      </c>
      <c r="Q4501" s="235">
        <v>44562</v>
      </c>
      <c r="R4501" s="236">
        <v>528300</v>
      </c>
      <c r="S4501" s="236">
        <v>718600</v>
      </c>
      <c r="T4501" s="30"/>
      <c r="U4501" s="146"/>
      <c r="V4501" s="146"/>
    </row>
    <row r="4502" spans="1:22" s="31" customFormat="1" ht="15" x14ac:dyDescent="0.25">
      <c r="B4502" s="215">
        <v>44629.125</v>
      </c>
      <c r="C4502" s="92" t="s">
        <v>4179</v>
      </c>
      <c r="D4502" s="23"/>
      <c r="E4502" s="23">
        <v>6620016</v>
      </c>
      <c r="F4502" s="93"/>
      <c r="G4502" s="93">
        <f>+E4502</f>
        <v>6620016</v>
      </c>
      <c r="H4502" s="94"/>
      <c r="I4502" s="94">
        <v>46613.54</v>
      </c>
      <c r="J4502" s="94">
        <v>44928.46</v>
      </c>
      <c r="K4502" s="18">
        <f>+G4502-H4502-I4502-J4502</f>
        <v>6528474</v>
      </c>
      <c r="L4502" s="19">
        <f>+L4501-G4502</f>
        <v>45016109</v>
      </c>
      <c r="M4502" s="96"/>
      <c r="N4502" s="96"/>
      <c r="O4502" s="81"/>
      <c r="P4502" s="234">
        <v>56856013</v>
      </c>
      <c r="Q4502" s="235">
        <v>44593</v>
      </c>
      <c r="R4502" s="236">
        <v>859300</v>
      </c>
      <c r="S4502" s="236">
        <v>1168700</v>
      </c>
      <c r="T4502" s="30"/>
      <c r="U4502" s="146"/>
      <c r="V4502" s="146"/>
    </row>
    <row r="4503" spans="1:22" s="31" customFormat="1" ht="15" hidden="1" x14ac:dyDescent="0.25">
      <c r="A4503" s="31">
        <v>2532022</v>
      </c>
      <c r="B4503" s="139" t="s">
        <v>4180</v>
      </c>
      <c r="C4503" s="294"/>
      <c r="D4503" s="210">
        <v>91907889</v>
      </c>
      <c r="E4503" s="210">
        <f>+D4503</f>
        <v>91907889</v>
      </c>
      <c r="F4503" s="210"/>
      <c r="G4503" s="210"/>
      <c r="H4503" s="210"/>
      <c r="I4503" s="210"/>
      <c r="J4503" s="210"/>
      <c r="K4503" s="210"/>
      <c r="L4503" s="141">
        <f>+D4503</f>
        <v>91907889</v>
      </c>
      <c r="M4503" s="142"/>
      <c r="N4503" s="142"/>
      <c r="P4503" s="156"/>
      <c r="Q4503" s="156"/>
      <c r="R4503" s="158"/>
      <c r="S4503" s="158"/>
      <c r="T4503" s="30"/>
    </row>
    <row r="4504" spans="1:22" s="31" customFormat="1" ht="15" hidden="1" x14ac:dyDescent="0.25">
      <c r="B4504" s="89">
        <v>44614.125</v>
      </c>
      <c r="C4504" s="284" t="s">
        <v>4181</v>
      </c>
      <c r="D4504" s="285"/>
      <c r="E4504" s="285">
        <v>3861676</v>
      </c>
      <c r="F4504" s="201"/>
      <c r="G4504" s="201">
        <f>+E4504</f>
        <v>3861676</v>
      </c>
      <c r="H4504" s="202"/>
      <c r="I4504" s="202"/>
      <c r="J4504" s="202">
        <v>26208.27</v>
      </c>
      <c r="K4504" s="72">
        <f>+G4504-H4504-I4504-J4504</f>
        <v>3835467.73</v>
      </c>
      <c r="L4504" s="19">
        <f>+L4503-G4504</f>
        <v>88046213</v>
      </c>
      <c r="M4504" s="96"/>
      <c r="N4504" s="96"/>
      <c r="O4504" s="149">
        <f>+VLOOKUP(A4503,'[1]ANEXO 7 - PPTO VIG 2022'!$G$9:$AB$201,21,)-L4505</f>
        <v>0</v>
      </c>
      <c r="P4504" s="234">
        <v>9430609183</v>
      </c>
      <c r="Q4504" s="235">
        <v>44562</v>
      </c>
      <c r="R4504" s="236">
        <v>204700</v>
      </c>
      <c r="S4504" s="236">
        <v>262100</v>
      </c>
      <c r="T4504" s="30"/>
      <c r="U4504" s="146"/>
      <c r="V4504" s="146"/>
    </row>
    <row r="4505" spans="1:22" s="31" customFormat="1" ht="15" x14ac:dyDescent="0.25">
      <c r="B4505" s="215">
        <v>44629.125</v>
      </c>
      <c r="C4505" s="92" t="s">
        <v>4182</v>
      </c>
      <c r="D4505" s="23"/>
      <c r="E4505" s="23">
        <v>7723352</v>
      </c>
      <c r="F4505" s="93"/>
      <c r="G4505" s="93">
        <f>+E4505</f>
        <v>7723352</v>
      </c>
      <c r="H4505" s="94"/>
      <c r="I4505" s="94">
        <v>176773.33</v>
      </c>
      <c r="J4505" s="94">
        <v>52416.54</v>
      </c>
      <c r="K4505" s="18">
        <f>+G4505-H4505-I4505-J4505</f>
        <v>7494162.1299999999</v>
      </c>
      <c r="L4505" s="19">
        <f>+L4504-G4505</f>
        <v>80322861</v>
      </c>
      <c r="M4505" s="96"/>
      <c r="N4505" s="96"/>
      <c r="O4505" s="81"/>
      <c r="P4505" s="234">
        <v>57013049</v>
      </c>
      <c r="Q4505" s="235">
        <v>44593</v>
      </c>
      <c r="R4505" s="237">
        <v>386200</v>
      </c>
      <c r="S4505" s="237">
        <v>494300</v>
      </c>
      <c r="T4505" s="30"/>
      <c r="U4505" s="146"/>
      <c r="V4505" s="146"/>
    </row>
    <row r="4506" spans="1:22" s="31" customFormat="1" ht="15" hidden="1" x14ac:dyDescent="0.25">
      <c r="A4506" s="31">
        <v>182022</v>
      </c>
      <c r="B4506" s="139" t="s">
        <v>4183</v>
      </c>
      <c r="C4506" s="294"/>
      <c r="D4506" s="210">
        <v>196329414</v>
      </c>
      <c r="E4506" s="210">
        <f>+D4506</f>
        <v>196329414</v>
      </c>
      <c r="F4506" s="210"/>
      <c r="G4506" s="210"/>
      <c r="H4506" s="210"/>
      <c r="I4506" s="210"/>
      <c r="J4506" s="210"/>
      <c r="K4506" s="210"/>
      <c r="L4506" s="141">
        <f>+D4506</f>
        <v>196329414</v>
      </c>
      <c r="M4506" s="142"/>
      <c r="N4506" s="142"/>
      <c r="P4506" s="156"/>
      <c r="Q4506" s="156"/>
      <c r="R4506" s="158"/>
      <c r="S4506" s="158"/>
      <c r="T4506" s="30"/>
    </row>
    <row r="4507" spans="1:22" s="31" customFormat="1" ht="15" hidden="1" x14ac:dyDescent="0.25">
      <c r="B4507" s="89">
        <v>44615.125</v>
      </c>
      <c r="C4507" s="284" t="s">
        <v>4184</v>
      </c>
      <c r="D4507" s="285"/>
      <c r="E4507" s="285">
        <v>11417316</v>
      </c>
      <c r="F4507" s="201"/>
      <c r="G4507" s="201">
        <f>+E4507</f>
        <v>11417316</v>
      </c>
      <c r="H4507" s="202">
        <v>273439.95</v>
      </c>
      <c r="I4507" s="202">
        <v>380028.64</v>
      </c>
      <c r="J4507" s="202">
        <v>65114.77</v>
      </c>
      <c r="K4507" s="72">
        <f>+G4507-H4507-I4507-J4507</f>
        <v>10698732.640000001</v>
      </c>
      <c r="L4507" s="19">
        <f>+L4506-G4507</f>
        <v>184912098</v>
      </c>
      <c r="M4507" s="96"/>
      <c r="N4507" s="96"/>
      <c r="O4507" s="149">
        <f>+VLOOKUP(A4506,'[1]ANEXO 7 - PPTO VIG 2022'!$G$9:$AB$201,21,)-L4508</f>
        <v>0</v>
      </c>
      <c r="P4507" s="234">
        <v>22459005</v>
      </c>
      <c r="Q4507" s="235">
        <v>44562</v>
      </c>
      <c r="R4507" s="236">
        <v>527000</v>
      </c>
      <c r="S4507" s="236">
        <v>716800</v>
      </c>
      <c r="T4507" s="30">
        <v>13173827</v>
      </c>
      <c r="U4507" s="146"/>
      <c r="V4507" s="146"/>
    </row>
    <row r="4508" spans="1:22" s="31" customFormat="1" ht="15" x14ac:dyDescent="0.25">
      <c r="B4508" s="215">
        <v>44643.083333333336</v>
      </c>
      <c r="C4508" s="92" t="s">
        <v>4185</v>
      </c>
      <c r="D4508" s="23"/>
      <c r="E4508" s="23">
        <v>13173827</v>
      </c>
      <c r="F4508" s="93"/>
      <c r="G4508" s="93">
        <f>+E4508</f>
        <v>13173827</v>
      </c>
      <c r="H4508" s="94">
        <v>315507.59999999998</v>
      </c>
      <c r="I4508" s="94">
        <v>606287.31000000006</v>
      </c>
      <c r="J4508" s="94">
        <v>75132.44</v>
      </c>
      <c r="K4508" s="18">
        <f>+G4508-H4508-I4508-J4508</f>
        <v>12176899.65</v>
      </c>
      <c r="L4508" s="19">
        <f>+L4507-G4508</f>
        <v>171738271</v>
      </c>
      <c r="M4508" s="96"/>
      <c r="N4508" s="96"/>
      <c r="O4508" s="81"/>
      <c r="P4508" s="234">
        <v>22693750</v>
      </c>
      <c r="Q4508" s="235">
        <v>44593</v>
      </c>
      <c r="R4508" s="236">
        <v>535000</v>
      </c>
      <c r="S4508" s="236">
        <v>727600</v>
      </c>
      <c r="T4508" s="30">
        <f>+T4507*0.19</f>
        <v>2503027.13</v>
      </c>
      <c r="U4508" s="146"/>
      <c r="V4508" s="146"/>
    </row>
    <row r="4509" spans="1:22" s="31" customFormat="1" ht="15" hidden="1" x14ac:dyDescent="0.25">
      <c r="B4509" s="215"/>
      <c r="C4509" s="216"/>
      <c r="D4509" s="217"/>
      <c r="E4509" s="217"/>
      <c r="F4509" s="219"/>
      <c r="G4509" s="219"/>
      <c r="H4509" s="218"/>
      <c r="I4509" s="218"/>
      <c r="J4509" s="218"/>
      <c r="K4509" s="41"/>
      <c r="L4509" s="20"/>
      <c r="M4509" s="96"/>
      <c r="N4509" s="96"/>
      <c r="O4509" s="81"/>
      <c r="P4509" s="234">
        <v>22893620</v>
      </c>
      <c r="Q4509" s="235">
        <v>44593</v>
      </c>
      <c r="R4509" s="236">
        <v>18500</v>
      </c>
      <c r="S4509" s="236">
        <v>25300</v>
      </c>
      <c r="T4509" s="30">
        <f>+T4507-T4508</f>
        <v>10670799.870000001</v>
      </c>
      <c r="U4509" s="146"/>
      <c r="V4509" s="146"/>
    </row>
    <row r="4510" spans="1:22" s="31" customFormat="1" ht="15" hidden="1" x14ac:dyDescent="0.25">
      <c r="A4510" s="31">
        <v>4782022</v>
      </c>
      <c r="B4510" s="139" t="s">
        <v>4186</v>
      </c>
      <c r="C4510" s="140"/>
      <c r="D4510" s="141">
        <v>108900000</v>
      </c>
      <c r="E4510" s="141">
        <f>+D4510</f>
        <v>108900000</v>
      </c>
      <c r="F4510" s="141"/>
      <c r="G4510" s="141"/>
      <c r="H4510" s="141"/>
      <c r="I4510" s="141"/>
      <c r="J4510" s="141"/>
      <c r="K4510" s="141"/>
      <c r="L4510" s="141">
        <f>+D4510</f>
        <v>108900000</v>
      </c>
      <c r="M4510" s="142"/>
      <c r="N4510" s="142"/>
      <c r="P4510" s="156"/>
      <c r="Q4510" s="156"/>
      <c r="R4510" s="158"/>
      <c r="S4510" s="158"/>
      <c r="T4510" s="30"/>
    </row>
    <row r="4511" spans="1:22" s="31" customFormat="1" ht="15" hidden="1" x14ac:dyDescent="0.25">
      <c r="B4511" s="89">
        <v>44615.125</v>
      </c>
      <c r="C4511" s="284" t="s">
        <v>4187</v>
      </c>
      <c r="D4511" s="285"/>
      <c r="E4511" s="285">
        <v>1320000</v>
      </c>
      <c r="F4511" s="201"/>
      <c r="G4511" s="201">
        <f>+E4511</f>
        <v>1320000</v>
      </c>
      <c r="H4511" s="202"/>
      <c r="I4511" s="202"/>
      <c r="J4511" s="202">
        <v>8958.52</v>
      </c>
      <c r="K4511" s="72">
        <f>+G4511-H4511-I4511-J4511</f>
        <v>1311041.48</v>
      </c>
      <c r="L4511" s="19">
        <f>+L4510-G4511</f>
        <v>107580000</v>
      </c>
      <c r="M4511" s="96"/>
      <c r="N4511" s="96"/>
      <c r="O4511" s="149">
        <f>+VLOOKUP(A4510,'[1]ANEXO 7 - PPTO VIG 2022'!$G$9:$AB$201,21,)-L4512</f>
        <v>0</v>
      </c>
      <c r="P4511" s="234">
        <v>9430740200</v>
      </c>
      <c r="Q4511" s="235">
        <v>44562</v>
      </c>
      <c r="R4511" s="236">
        <v>66000</v>
      </c>
      <c r="S4511" s="236">
        <v>84500</v>
      </c>
      <c r="T4511" s="30"/>
      <c r="U4511" s="146"/>
      <c r="V4511" s="146"/>
    </row>
    <row r="4512" spans="1:22" s="31" customFormat="1" ht="15" x14ac:dyDescent="0.25">
      <c r="B4512" s="215">
        <v>44629.125</v>
      </c>
      <c r="C4512" s="92" t="s">
        <v>4188</v>
      </c>
      <c r="D4512" s="23"/>
      <c r="E4512" s="23">
        <v>9900000</v>
      </c>
      <c r="F4512" s="93"/>
      <c r="G4512" s="93">
        <f>+E4512</f>
        <v>9900000</v>
      </c>
      <c r="H4512" s="94"/>
      <c r="I4512" s="94">
        <v>413619</v>
      </c>
      <c r="J4512" s="94">
        <v>67188.92</v>
      </c>
      <c r="K4512" s="18">
        <f>+G4512-H4512-I4512-J4512</f>
        <v>9419192.0800000001</v>
      </c>
      <c r="L4512" s="19">
        <f>+L4511-G4512</f>
        <v>97680000</v>
      </c>
      <c r="M4512" s="96"/>
      <c r="N4512" s="96"/>
      <c r="O4512" s="81"/>
      <c r="P4512" s="234">
        <v>9431342010</v>
      </c>
      <c r="Q4512" s="235">
        <v>44593</v>
      </c>
      <c r="R4512" s="236">
        <v>495000</v>
      </c>
      <c r="S4512" s="236">
        <v>633600</v>
      </c>
      <c r="T4512" s="30"/>
      <c r="U4512" s="146"/>
      <c r="V4512" s="146"/>
    </row>
    <row r="4513" spans="1:22" s="31" customFormat="1" ht="15" hidden="1" x14ac:dyDescent="0.25">
      <c r="A4513" s="31">
        <v>4132022</v>
      </c>
      <c r="B4513" s="139" t="s">
        <v>4189</v>
      </c>
      <c r="C4513" s="294"/>
      <c r="D4513" s="210">
        <v>49573333</v>
      </c>
      <c r="E4513" s="210">
        <f>+D4513</f>
        <v>49573333</v>
      </c>
      <c r="F4513" s="210"/>
      <c r="G4513" s="210"/>
      <c r="H4513" s="210"/>
      <c r="I4513" s="210"/>
      <c r="J4513" s="210"/>
      <c r="K4513" s="210"/>
      <c r="L4513" s="141">
        <f>+D4513</f>
        <v>49573333</v>
      </c>
      <c r="M4513" s="142"/>
      <c r="N4513" s="142"/>
      <c r="P4513" s="156"/>
      <c r="Q4513" s="156"/>
      <c r="R4513" s="158"/>
      <c r="S4513" s="158"/>
      <c r="T4513" s="30"/>
    </row>
    <row r="4514" spans="1:22" s="31" customFormat="1" ht="15" hidden="1" x14ac:dyDescent="0.25">
      <c r="B4514" s="89">
        <v>44617.125</v>
      </c>
      <c r="C4514" s="284" t="s">
        <v>4190</v>
      </c>
      <c r="D4514" s="285"/>
      <c r="E4514" s="285">
        <v>1026667</v>
      </c>
      <c r="F4514" s="201"/>
      <c r="G4514" s="201">
        <f>+E4514</f>
        <v>1026667</v>
      </c>
      <c r="H4514" s="202"/>
      <c r="I4514" s="202"/>
      <c r="J4514" s="202">
        <v>7864.27</v>
      </c>
      <c r="K4514" s="72">
        <f>+G4514-H4514-I4514-J4514</f>
        <v>1018802.73</v>
      </c>
      <c r="L4514" s="19">
        <f>+L4513-G4514</f>
        <v>48546666</v>
      </c>
      <c r="M4514" s="96"/>
      <c r="N4514" s="96"/>
      <c r="O4514" s="149">
        <f>+VLOOKUP(A4513,'[1]ANEXO 7 - PPTO VIG 2022'!$G$9:$AB$201,21,)-L4515</f>
        <v>0</v>
      </c>
      <c r="P4514" s="234">
        <v>55365240</v>
      </c>
      <c r="Q4514" s="235">
        <v>44531</v>
      </c>
      <c r="R4514" s="236">
        <v>168800</v>
      </c>
      <c r="S4514" s="236">
        <v>216000</v>
      </c>
      <c r="T4514" s="30"/>
      <c r="U4514" s="146"/>
      <c r="V4514" s="146"/>
    </row>
    <row r="4515" spans="1:22" s="31" customFormat="1" ht="15" x14ac:dyDescent="0.25">
      <c r="B4515" s="215">
        <v>44636.083333333336</v>
      </c>
      <c r="C4515" s="92" t="s">
        <v>4191</v>
      </c>
      <c r="D4515" s="23"/>
      <c r="E4515" s="23">
        <v>4400000</v>
      </c>
      <c r="F4515" s="93"/>
      <c r="G4515" s="93">
        <f>+E4515</f>
        <v>4400000</v>
      </c>
      <c r="H4515" s="94"/>
      <c r="I4515" s="94"/>
      <c r="J4515" s="94">
        <v>31520.9</v>
      </c>
      <c r="K4515" s="18">
        <f>+G4515-H4515-I4515-J4515</f>
        <v>4368479.0999999996</v>
      </c>
      <c r="L4515" s="19">
        <f>+L4514-G4515</f>
        <v>44146666</v>
      </c>
      <c r="M4515" s="96"/>
      <c r="N4515" s="96"/>
      <c r="O4515" s="81"/>
      <c r="P4515" s="234">
        <v>56932815</v>
      </c>
      <c r="Q4515" s="235">
        <v>44562</v>
      </c>
      <c r="R4515" s="237">
        <v>125000</v>
      </c>
      <c r="S4515" s="237">
        <v>160000</v>
      </c>
      <c r="T4515" s="30"/>
      <c r="U4515" s="146"/>
      <c r="V4515" s="146"/>
    </row>
    <row r="4516" spans="1:22" s="31" customFormat="1" ht="15" hidden="1" x14ac:dyDescent="0.25">
      <c r="A4516" s="31">
        <v>2502022</v>
      </c>
      <c r="B4516" s="139" t="s">
        <v>4192</v>
      </c>
      <c r="C4516" s="294"/>
      <c r="D4516" s="210">
        <v>27600000</v>
      </c>
      <c r="E4516" s="210">
        <f>+D4516</f>
        <v>27600000</v>
      </c>
      <c r="F4516" s="210"/>
      <c r="G4516" s="210"/>
      <c r="H4516" s="210"/>
      <c r="I4516" s="210"/>
      <c r="J4516" s="210"/>
      <c r="K4516" s="210"/>
      <c r="L4516" s="141">
        <f>+D4516</f>
        <v>27600000</v>
      </c>
      <c r="M4516" s="142"/>
      <c r="N4516" s="142"/>
      <c r="P4516" s="156"/>
      <c r="Q4516" s="156"/>
      <c r="R4516" s="158"/>
      <c r="S4516" s="158"/>
      <c r="T4516" s="30"/>
    </row>
    <row r="4517" spans="1:22" s="31" customFormat="1" ht="15" hidden="1" x14ac:dyDescent="0.25">
      <c r="B4517" s="89">
        <v>44620.125</v>
      </c>
      <c r="C4517" s="284" t="s">
        <v>4193</v>
      </c>
      <c r="D4517" s="285"/>
      <c r="E4517" s="285">
        <v>480000</v>
      </c>
      <c r="F4517" s="201"/>
      <c r="G4517" s="201">
        <f>+E4517</f>
        <v>480000</v>
      </c>
      <c r="H4517" s="202"/>
      <c r="I4517" s="202"/>
      <c r="J4517" s="202">
        <v>3257.64</v>
      </c>
      <c r="K4517" s="72">
        <f>+G4517-H4517-I4517-J4517</f>
        <v>476742.36</v>
      </c>
      <c r="L4517" s="19">
        <f>+L4516-G4517</f>
        <v>27120000</v>
      </c>
      <c r="M4517" s="96"/>
      <c r="N4517" s="96"/>
      <c r="O4517" s="149">
        <f>+VLOOKUP(A4516,'[1]ANEXO 7 - PPTO VIG 2022'!$G$9:$AB$201,21,)-L4518</f>
        <v>0</v>
      </c>
      <c r="P4517" s="234">
        <v>1042644461</v>
      </c>
      <c r="Q4517" s="235">
        <v>44531</v>
      </c>
      <c r="R4517" s="236">
        <v>150000</v>
      </c>
      <c r="S4517" s="236">
        <v>192000</v>
      </c>
      <c r="T4517" s="30"/>
      <c r="U4517" s="146"/>
      <c r="V4517" s="146"/>
    </row>
    <row r="4518" spans="1:22" s="31" customFormat="1" ht="15" x14ac:dyDescent="0.25">
      <c r="B4518" s="215">
        <v>44643.083333333336</v>
      </c>
      <c r="C4518" s="92" t="s">
        <v>4194</v>
      </c>
      <c r="D4518" s="23"/>
      <c r="E4518" s="23">
        <v>2400000</v>
      </c>
      <c r="F4518" s="93"/>
      <c r="G4518" s="93">
        <f>+E4518</f>
        <v>2400000</v>
      </c>
      <c r="H4518" s="94"/>
      <c r="I4518" s="94"/>
      <c r="J4518" s="94">
        <v>16288.22</v>
      </c>
      <c r="K4518" s="18">
        <f>+G4518-H4518-I4518-J4518</f>
        <v>2383711.7799999998</v>
      </c>
      <c r="L4518" s="19">
        <f>+L4517-G4518</f>
        <v>24720000</v>
      </c>
      <c r="M4518" s="96"/>
      <c r="N4518" s="96"/>
      <c r="O4518" s="81"/>
      <c r="P4518" s="234">
        <v>9431774855</v>
      </c>
      <c r="Q4518" s="235">
        <v>44562</v>
      </c>
      <c r="R4518" s="236">
        <v>150000</v>
      </c>
      <c r="S4518" s="236">
        <v>192000</v>
      </c>
      <c r="T4518" s="30"/>
      <c r="U4518" s="146"/>
      <c r="V4518" s="146"/>
    </row>
    <row r="4519" spans="1:22" s="31" customFormat="1" ht="15" hidden="1" x14ac:dyDescent="0.25">
      <c r="A4519" s="31">
        <v>2942022</v>
      </c>
      <c r="B4519" s="139" t="s">
        <v>4195</v>
      </c>
      <c r="C4519" s="294"/>
      <c r="D4519" s="210">
        <v>18536046</v>
      </c>
      <c r="E4519" s="210">
        <f>+D4519</f>
        <v>18536046</v>
      </c>
      <c r="F4519" s="210"/>
      <c r="G4519" s="210"/>
      <c r="H4519" s="210"/>
      <c r="I4519" s="210"/>
      <c r="J4519" s="210"/>
      <c r="K4519" s="210"/>
      <c r="L4519" s="141">
        <f>+D4519</f>
        <v>18536046</v>
      </c>
      <c r="M4519" s="142"/>
      <c r="N4519" s="142"/>
      <c r="P4519" s="156"/>
      <c r="Q4519" s="156"/>
      <c r="R4519" s="158"/>
      <c r="S4519" s="158"/>
      <c r="T4519" s="30"/>
    </row>
    <row r="4520" spans="1:22" s="31" customFormat="1" ht="15" hidden="1" x14ac:dyDescent="0.25">
      <c r="B4520" s="89">
        <v>44620.125</v>
      </c>
      <c r="C4520" s="284" t="s">
        <v>4196</v>
      </c>
      <c r="D4520" s="285"/>
      <c r="E4520" s="285">
        <v>1235736</v>
      </c>
      <c r="F4520" s="201"/>
      <c r="G4520" s="201">
        <f>+E4520</f>
        <v>1235736</v>
      </c>
      <c r="H4520" s="202"/>
      <c r="I4520" s="202"/>
      <c r="J4520" s="202">
        <v>8386.64</v>
      </c>
      <c r="K4520" s="72">
        <f>+G4520-H4520-I4520-J4520</f>
        <v>1227349.3600000001</v>
      </c>
      <c r="L4520" s="19">
        <f>+L4519-G4520</f>
        <v>17300310</v>
      </c>
      <c r="M4520" s="96"/>
      <c r="N4520" s="96"/>
      <c r="O4520" s="149">
        <f>+VLOOKUP(A4519,'[1]ANEXO 7 - PPTO VIG 2022'!$G$9:$AB$201,21,)-L4521</f>
        <v>0</v>
      </c>
      <c r="P4520" s="234">
        <v>9430753306</v>
      </c>
      <c r="Q4520" s="235">
        <v>44562</v>
      </c>
      <c r="R4520" s="236">
        <v>125000</v>
      </c>
      <c r="S4520" s="236">
        <v>160000</v>
      </c>
      <c r="T4520" s="30"/>
      <c r="U4520" s="146"/>
      <c r="V4520" s="146"/>
    </row>
    <row r="4521" spans="1:22" s="31" customFormat="1" ht="15" x14ac:dyDescent="0.25">
      <c r="B4521" s="215">
        <v>44644.083333333336</v>
      </c>
      <c r="C4521" s="92" t="s">
        <v>4197</v>
      </c>
      <c r="D4521" s="23"/>
      <c r="E4521" s="23">
        <v>3089341</v>
      </c>
      <c r="F4521" s="93"/>
      <c r="G4521" s="93">
        <f>+E4521</f>
        <v>3089341</v>
      </c>
      <c r="H4521" s="94"/>
      <c r="I4521" s="94"/>
      <c r="J4521" s="94">
        <v>20966.62</v>
      </c>
      <c r="K4521" s="18">
        <f>+G4521-H4521-I4521-J4521</f>
        <v>3068374.38</v>
      </c>
      <c r="L4521" s="19">
        <f>+L4520-G4521</f>
        <v>14210969</v>
      </c>
      <c r="M4521" s="96"/>
      <c r="N4521" s="96"/>
      <c r="O4521" s="81"/>
      <c r="P4521" s="234">
        <v>9430803726</v>
      </c>
      <c r="Q4521" s="235">
        <v>44593</v>
      </c>
      <c r="R4521" s="236">
        <v>154500</v>
      </c>
      <c r="S4521" s="236">
        <v>197800</v>
      </c>
      <c r="T4521" s="30"/>
      <c r="U4521" s="146"/>
      <c r="V4521" s="146"/>
    </row>
    <row r="4522" spans="1:22" s="31" customFormat="1" ht="15" hidden="1" x14ac:dyDescent="0.25">
      <c r="A4522" s="31">
        <v>4562022</v>
      </c>
      <c r="B4522" s="139" t="s">
        <v>4198</v>
      </c>
      <c r="C4522" s="294"/>
      <c r="D4522" s="210">
        <v>39339133</v>
      </c>
      <c r="E4522" s="210">
        <f>+D4522</f>
        <v>39339133</v>
      </c>
      <c r="F4522" s="210"/>
      <c r="G4522" s="210"/>
      <c r="H4522" s="210"/>
      <c r="I4522" s="210"/>
      <c r="J4522" s="210"/>
      <c r="K4522" s="210"/>
      <c r="L4522" s="141">
        <f>+D4522</f>
        <v>39339133</v>
      </c>
      <c r="M4522" s="142"/>
      <c r="N4522" s="142"/>
      <c r="P4522" s="156"/>
      <c r="Q4522" s="156"/>
      <c r="R4522" s="158"/>
      <c r="S4522" s="158"/>
      <c r="T4522" s="30"/>
    </row>
    <row r="4523" spans="1:22" s="31" customFormat="1" ht="15" hidden="1" x14ac:dyDescent="0.25">
      <c r="B4523" s="89">
        <v>44620.125</v>
      </c>
      <c r="C4523" s="284" t="s">
        <v>4199</v>
      </c>
      <c r="D4523" s="285"/>
      <c r="E4523" s="285">
        <v>116733</v>
      </c>
      <c r="F4523" s="201"/>
      <c r="G4523" s="201">
        <f>+E4523</f>
        <v>116733</v>
      </c>
      <c r="H4523" s="202"/>
      <c r="I4523" s="202"/>
      <c r="J4523" s="202">
        <v>894.17</v>
      </c>
      <c r="K4523" s="72">
        <f>+G4523-H4523-I4523-J4523</f>
        <v>115838.83</v>
      </c>
      <c r="L4523" s="19">
        <f>+L4522-G4523</f>
        <v>39222400</v>
      </c>
      <c r="M4523" s="96"/>
      <c r="N4523" s="96"/>
      <c r="O4523" s="149">
        <f>+VLOOKUP(A4522,'[1]ANEXO 7 - PPTO VIG 2022'!$G$9:$AB$201,21,)-L4524</f>
        <v>0</v>
      </c>
      <c r="P4523" s="231">
        <v>9428221529</v>
      </c>
      <c r="Q4523" s="232">
        <v>44531</v>
      </c>
      <c r="R4523" s="233">
        <v>170000</v>
      </c>
      <c r="S4523" s="233">
        <v>217600</v>
      </c>
      <c r="T4523" s="30"/>
      <c r="U4523" s="146"/>
      <c r="V4523" s="146"/>
    </row>
    <row r="4524" spans="1:22" s="31" customFormat="1" ht="15" x14ac:dyDescent="0.25">
      <c r="B4524" s="215">
        <v>44636.083333333336</v>
      </c>
      <c r="C4524" s="92" t="s">
        <v>4200</v>
      </c>
      <c r="D4524" s="23"/>
      <c r="E4524" s="23">
        <v>3502000</v>
      </c>
      <c r="F4524" s="93"/>
      <c r="G4524" s="93">
        <f>+E4524</f>
        <v>3502000</v>
      </c>
      <c r="H4524" s="94"/>
      <c r="I4524" s="94"/>
      <c r="J4524" s="94">
        <v>23767.23</v>
      </c>
      <c r="K4524" s="18">
        <f>+G4524-H4524-I4524-J4524</f>
        <v>3478232.77</v>
      </c>
      <c r="L4524" s="19">
        <f>+L4523-G4524</f>
        <v>35720400</v>
      </c>
      <c r="M4524" s="96"/>
      <c r="N4524" s="96"/>
      <c r="O4524" s="81"/>
      <c r="P4524" s="234">
        <v>9431315357</v>
      </c>
      <c r="Q4524" s="235">
        <v>44593</v>
      </c>
      <c r="R4524" s="237">
        <v>46700</v>
      </c>
      <c r="S4524" s="237">
        <v>59800</v>
      </c>
      <c r="T4524" s="30"/>
      <c r="U4524" s="146"/>
      <c r="V4524" s="146"/>
    </row>
    <row r="4525" spans="1:22" s="31" customFormat="1" ht="15" hidden="1" x14ac:dyDescent="0.25">
      <c r="B4525" s="215"/>
      <c r="C4525" s="216"/>
      <c r="D4525" s="217"/>
      <c r="E4525" s="217"/>
      <c r="F4525" s="219"/>
      <c r="G4525" s="219"/>
      <c r="H4525" s="218"/>
      <c r="I4525" s="218"/>
      <c r="J4525" s="218"/>
      <c r="K4525" s="41"/>
      <c r="L4525" s="20"/>
      <c r="M4525" s="96"/>
      <c r="N4525" s="96"/>
      <c r="O4525" s="81"/>
      <c r="P4525" s="234">
        <v>9431870875</v>
      </c>
      <c r="Q4525" s="235">
        <v>44593</v>
      </c>
      <c r="R4525" s="237">
        <v>128400</v>
      </c>
      <c r="S4525" s="237">
        <v>164400</v>
      </c>
      <c r="T4525" s="30"/>
      <c r="U4525" s="146"/>
      <c r="V4525" s="146"/>
    </row>
    <row r="4526" spans="1:22" s="31" customFormat="1" ht="15" hidden="1" x14ac:dyDescent="0.25">
      <c r="A4526" s="31">
        <v>1002022</v>
      </c>
      <c r="B4526" s="139" t="s">
        <v>4201</v>
      </c>
      <c r="C4526" s="288"/>
      <c r="D4526" s="289">
        <v>90363218</v>
      </c>
      <c r="E4526" s="289">
        <f>+D4526</f>
        <v>90363218</v>
      </c>
      <c r="F4526" s="289"/>
      <c r="G4526" s="289"/>
      <c r="H4526" s="289"/>
      <c r="I4526" s="289"/>
      <c r="J4526" s="289"/>
      <c r="K4526" s="289"/>
      <c r="L4526" s="141">
        <f>+D4526</f>
        <v>90363218</v>
      </c>
      <c r="M4526" s="142"/>
      <c r="N4526" s="142"/>
      <c r="P4526" s="156"/>
      <c r="Q4526" s="156"/>
      <c r="R4526" s="158"/>
      <c r="S4526" s="158"/>
      <c r="T4526" s="30"/>
    </row>
    <row r="4527" spans="1:22" s="31" customFormat="1" ht="15" x14ac:dyDescent="0.25">
      <c r="B4527" s="100">
        <v>44624.125</v>
      </c>
      <c r="C4527" s="92" t="s">
        <v>4202</v>
      </c>
      <c r="D4527" s="23"/>
      <c r="E4527" s="23">
        <v>5406346</v>
      </c>
      <c r="F4527" s="93"/>
      <c r="G4527" s="93">
        <f>+E4527</f>
        <v>5406346</v>
      </c>
      <c r="H4527" s="94"/>
      <c r="I4527" s="94"/>
      <c r="J4527" s="94">
        <v>36691.57</v>
      </c>
      <c r="K4527" s="18">
        <f>+G4527-H4527-I4527-J4527</f>
        <v>5369654.4299999997</v>
      </c>
      <c r="L4527" s="19">
        <f>+L4526-G4527</f>
        <v>84956872</v>
      </c>
      <c r="M4527" s="96"/>
      <c r="N4527" s="96"/>
      <c r="O4527" s="149">
        <f>+VLOOKUP(A4526,'[1]ANEXO 7 - PPTO VIG 2022'!$G$9:$AB$201,21,)-L4527</f>
        <v>0</v>
      </c>
      <c r="P4527" s="227">
        <v>9430800746</v>
      </c>
      <c r="Q4527" s="228">
        <v>44562</v>
      </c>
      <c r="R4527" s="229">
        <v>300000</v>
      </c>
      <c r="S4527" s="229">
        <v>384000</v>
      </c>
      <c r="T4527" s="30"/>
      <c r="U4527" s="146"/>
      <c r="V4527" s="146"/>
    </row>
    <row r="4528" spans="1:22" s="31" customFormat="1" ht="15" hidden="1" x14ac:dyDescent="0.25">
      <c r="B4528" s="215"/>
      <c r="C4528" s="216"/>
      <c r="D4528" s="217"/>
      <c r="E4528" s="217"/>
      <c r="F4528" s="219"/>
      <c r="G4528" s="219"/>
      <c r="H4528" s="218"/>
      <c r="I4528" s="218"/>
      <c r="J4528" s="218"/>
      <c r="K4528" s="41"/>
      <c r="L4528" s="20"/>
      <c r="M4528" s="96"/>
      <c r="N4528" s="96"/>
      <c r="O4528" s="81"/>
      <c r="P4528" s="234"/>
      <c r="Q4528" s="238"/>
      <c r="R4528" s="237"/>
      <c r="S4528" s="237"/>
      <c r="T4528" s="30"/>
      <c r="U4528" s="146"/>
      <c r="V4528" s="146"/>
    </row>
    <row r="4529" spans="1:22" s="31" customFormat="1" ht="15" hidden="1" x14ac:dyDescent="0.25">
      <c r="A4529" s="31">
        <v>4452022</v>
      </c>
      <c r="B4529" s="139" t="s">
        <v>4203</v>
      </c>
      <c r="C4529" s="288"/>
      <c r="D4529" s="289">
        <v>71225000</v>
      </c>
      <c r="E4529" s="289">
        <f>+D4529</f>
        <v>71225000</v>
      </c>
      <c r="F4529" s="289"/>
      <c r="G4529" s="289"/>
      <c r="H4529" s="289"/>
      <c r="I4529" s="289"/>
      <c r="J4529" s="289"/>
      <c r="K4529" s="289"/>
      <c r="L4529" s="141">
        <f>+D4529</f>
        <v>71225000</v>
      </c>
      <c r="M4529" s="142"/>
      <c r="N4529" s="142"/>
      <c r="P4529" s="156"/>
      <c r="Q4529" s="156"/>
      <c r="R4529" s="158"/>
      <c r="S4529" s="158"/>
      <c r="T4529" s="30"/>
    </row>
    <row r="4530" spans="1:22" s="31" customFormat="1" ht="15" x14ac:dyDescent="0.25">
      <c r="B4530" s="100">
        <v>44623.125</v>
      </c>
      <c r="C4530" s="92" t="s">
        <v>4204</v>
      </c>
      <c r="D4530" s="23"/>
      <c r="E4530" s="23">
        <v>858333</v>
      </c>
      <c r="F4530" s="93"/>
      <c r="G4530" s="93">
        <f>+E4530</f>
        <v>858333</v>
      </c>
      <c r="H4530" s="94"/>
      <c r="I4530" s="94"/>
      <c r="J4530" s="94">
        <v>5825.3</v>
      </c>
      <c r="K4530" s="18">
        <f>+G4530-H4530-I4530-J4530</f>
        <v>852507.7</v>
      </c>
      <c r="L4530" s="19">
        <f>+L4529-G4530</f>
        <v>70366667</v>
      </c>
      <c r="M4530" s="96"/>
      <c r="N4530" s="96"/>
      <c r="O4530" s="149">
        <f>+VLOOKUP(A4529,'[1]ANEXO 7 - PPTO VIG 2022'!$G$9:$AB$201,21,)-L4530</f>
        <v>0</v>
      </c>
      <c r="P4530" s="227">
        <v>9430420146</v>
      </c>
      <c r="Q4530" s="228">
        <v>44562</v>
      </c>
      <c r="R4530" s="229">
        <v>125000</v>
      </c>
      <c r="S4530" s="229">
        <v>160000</v>
      </c>
      <c r="T4530" s="30"/>
      <c r="U4530" s="146"/>
      <c r="V4530" s="146"/>
    </row>
    <row r="4531" spans="1:22" s="31" customFormat="1" ht="15" hidden="1" x14ac:dyDescent="0.25">
      <c r="B4531" s="215"/>
      <c r="C4531" s="216"/>
      <c r="D4531" s="217"/>
      <c r="E4531" s="217"/>
      <c r="F4531" s="219"/>
      <c r="G4531" s="219"/>
      <c r="H4531" s="218"/>
      <c r="I4531" s="218"/>
      <c r="J4531" s="218"/>
      <c r="K4531" s="41"/>
      <c r="L4531" s="20"/>
      <c r="M4531" s="96"/>
      <c r="N4531" s="96"/>
      <c r="O4531" s="81"/>
      <c r="P4531" s="234"/>
      <c r="Q4531" s="238"/>
      <c r="R4531" s="237"/>
      <c r="S4531" s="237"/>
      <c r="T4531" s="30"/>
      <c r="U4531" s="146"/>
      <c r="V4531" s="146"/>
    </row>
    <row r="4532" spans="1:22" s="31" customFormat="1" ht="15" hidden="1" x14ac:dyDescent="0.25">
      <c r="A4532" s="31">
        <v>4632022</v>
      </c>
      <c r="B4532" s="139" t="s">
        <v>4205</v>
      </c>
      <c r="C4532" s="288"/>
      <c r="D4532" s="289">
        <v>49440000</v>
      </c>
      <c r="E4532" s="289">
        <f>+D4532</f>
        <v>49440000</v>
      </c>
      <c r="F4532" s="289"/>
      <c r="G4532" s="289"/>
      <c r="H4532" s="289"/>
      <c r="I4532" s="289"/>
      <c r="J4532" s="289"/>
      <c r="K4532" s="289"/>
      <c r="L4532" s="141">
        <f>+D4532</f>
        <v>49440000</v>
      </c>
      <c r="M4532" s="142"/>
      <c r="N4532" s="142"/>
      <c r="P4532" s="156"/>
      <c r="Q4532" s="156"/>
      <c r="R4532" s="158"/>
      <c r="S4532" s="158"/>
      <c r="T4532" s="30"/>
    </row>
    <row r="4533" spans="1:22" s="31" customFormat="1" ht="15" x14ac:dyDescent="0.25">
      <c r="B4533" s="100">
        <v>44623.125</v>
      </c>
      <c r="C4533" s="92" t="s">
        <v>4206</v>
      </c>
      <c r="D4533" s="23"/>
      <c r="E4533" s="23">
        <v>1236000</v>
      </c>
      <c r="F4533" s="93"/>
      <c r="G4533" s="93">
        <f>+E4533</f>
        <v>1236000</v>
      </c>
      <c r="H4533" s="94"/>
      <c r="I4533" s="94">
        <v>0</v>
      </c>
      <c r="J4533" s="94">
        <v>8388.44</v>
      </c>
      <c r="K4533" s="18">
        <f>+G4533-H4533-I4533-J4533</f>
        <v>1227611.56</v>
      </c>
      <c r="L4533" s="19">
        <f>+L4532-G4533</f>
        <v>48204000</v>
      </c>
      <c r="M4533" s="96"/>
      <c r="N4533" s="96"/>
      <c r="O4533" s="149">
        <f>+VLOOKUP(A4532,'[1]ANEXO 7 - PPTO VIG 2022'!$G$9:$AB$201,21,)-L4534</f>
        <v>0</v>
      </c>
      <c r="P4533" s="231">
        <v>55234714</v>
      </c>
      <c r="Q4533" s="232">
        <v>44531</v>
      </c>
      <c r="R4533" s="233">
        <v>300000</v>
      </c>
      <c r="S4533" s="233">
        <v>384000</v>
      </c>
      <c r="T4533" s="30"/>
      <c r="U4533" s="146"/>
      <c r="V4533" s="146"/>
    </row>
    <row r="4534" spans="1:22" s="31" customFormat="1" ht="15" x14ac:dyDescent="0.25">
      <c r="B4534" s="215">
        <v>44622.125</v>
      </c>
      <c r="C4534" s="92" t="s">
        <v>4207</v>
      </c>
      <c r="D4534" s="23"/>
      <c r="E4534" s="23">
        <v>6180000</v>
      </c>
      <c r="F4534" s="93"/>
      <c r="G4534" s="93">
        <f>+E4534</f>
        <v>6180000</v>
      </c>
      <c r="H4534" s="94"/>
      <c r="I4534" s="94">
        <v>65245.04</v>
      </c>
      <c r="J4534" s="94">
        <v>45155.7</v>
      </c>
      <c r="K4534" s="18">
        <f>+G4534-H4534-I4534-J4534</f>
        <v>6069599.2599999998</v>
      </c>
      <c r="L4534" s="19">
        <f>+L4533-G4534</f>
        <v>42024000</v>
      </c>
      <c r="M4534" s="96"/>
      <c r="N4534" s="96"/>
      <c r="O4534" s="81"/>
      <c r="P4534" s="234">
        <v>55782317</v>
      </c>
      <c r="Q4534" s="228">
        <v>44562</v>
      </c>
      <c r="R4534" s="237">
        <v>125000</v>
      </c>
      <c r="S4534" s="237">
        <v>160000</v>
      </c>
      <c r="T4534" s="30"/>
      <c r="U4534" s="146"/>
      <c r="V4534" s="146"/>
    </row>
    <row r="4535" spans="1:22" s="31" customFormat="1" ht="15" hidden="1" x14ac:dyDescent="0.25">
      <c r="A4535" s="31">
        <v>4692022</v>
      </c>
      <c r="B4535" s="139" t="s">
        <v>4208</v>
      </c>
      <c r="C4535" s="296"/>
      <c r="D4535" s="297">
        <v>71225000</v>
      </c>
      <c r="E4535" s="297">
        <f>+D4535</f>
        <v>71225000</v>
      </c>
      <c r="F4535" s="297"/>
      <c r="G4535" s="297"/>
      <c r="H4535" s="297"/>
      <c r="I4535" s="297"/>
      <c r="J4535" s="297"/>
      <c r="K4535" s="297"/>
      <c r="L4535" s="141">
        <f>+D4535</f>
        <v>71225000</v>
      </c>
      <c r="M4535" s="142"/>
      <c r="N4535" s="142"/>
      <c r="P4535" s="156"/>
      <c r="Q4535" s="156"/>
      <c r="R4535" s="158"/>
      <c r="S4535" s="158"/>
      <c r="T4535" s="30"/>
    </row>
    <row r="4536" spans="1:22" s="31" customFormat="1" ht="15" x14ac:dyDescent="0.25">
      <c r="B4536" s="100">
        <v>44623.125</v>
      </c>
      <c r="C4536" s="92" t="s">
        <v>4209</v>
      </c>
      <c r="D4536" s="23"/>
      <c r="E4536" s="23">
        <v>171667</v>
      </c>
      <c r="F4536" s="93"/>
      <c r="G4536" s="93">
        <f>+E4536</f>
        <v>171667</v>
      </c>
      <c r="H4536" s="94"/>
      <c r="I4536" s="94"/>
      <c r="J4536" s="94">
        <v>1165.06</v>
      </c>
      <c r="K4536" s="18">
        <f>+G4536-H4536-I4536-J4536</f>
        <v>170501.94</v>
      </c>
      <c r="L4536" s="19">
        <f>+L4535-G4536</f>
        <v>71053333</v>
      </c>
      <c r="M4536" s="96"/>
      <c r="N4536" s="96"/>
      <c r="O4536" s="149">
        <f>+VLOOKUP(A4535,'[1]ANEXO 7 - PPTO VIG 2022'!$G$9:$AB$201,21,)-L4537</f>
        <v>0</v>
      </c>
      <c r="P4536" s="234">
        <v>56690542</v>
      </c>
      <c r="Q4536" s="235">
        <v>44562</v>
      </c>
      <c r="R4536" s="236">
        <v>125000</v>
      </c>
      <c r="S4536" s="236">
        <v>160000</v>
      </c>
      <c r="T4536" s="30"/>
      <c r="U4536" s="146"/>
      <c r="V4536" s="146"/>
    </row>
    <row r="4537" spans="1:22" s="31" customFormat="1" ht="15" x14ac:dyDescent="0.25">
      <c r="B4537" s="215">
        <v>44643.083333333336</v>
      </c>
      <c r="C4537" s="92" t="s">
        <v>4210</v>
      </c>
      <c r="D4537" s="23"/>
      <c r="E4537" s="23">
        <v>5150000</v>
      </c>
      <c r="F4537" s="93"/>
      <c r="G4537" s="93">
        <f>+E4537</f>
        <v>5150000</v>
      </c>
      <c r="H4537" s="94"/>
      <c r="I4537" s="94"/>
      <c r="J4537" s="94">
        <v>34951.81</v>
      </c>
      <c r="K4537" s="18">
        <f>+G4537-H4537-I4537-J4537</f>
        <v>5115048.1900000004</v>
      </c>
      <c r="L4537" s="19">
        <f>+L4536-G4537</f>
        <v>65903333</v>
      </c>
      <c r="M4537" s="96"/>
      <c r="N4537" s="96"/>
      <c r="O4537" s="81"/>
      <c r="P4537" s="234">
        <v>57120469</v>
      </c>
      <c r="Q4537" s="235">
        <v>44593</v>
      </c>
      <c r="R4537" s="236">
        <v>257500</v>
      </c>
      <c r="S4537" s="236">
        <v>329600</v>
      </c>
      <c r="T4537" s="30"/>
      <c r="U4537" s="146"/>
      <c r="V4537" s="146"/>
    </row>
    <row r="4538" spans="1:22" s="31" customFormat="1" ht="15" hidden="1" x14ac:dyDescent="0.25">
      <c r="A4538" s="31">
        <v>5052022</v>
      </c>
      <c r="B4538" s="139" t="s">
        <v>4211</v>
      </c>
      <c r="C4538" s="296"/>
      <c r="D4538" s="297">
        <v>30400000</v>
      </c>
      <c r="E4538" s="297">
        <f>+D4538</f>
        <v>30400000</v>
      </c>
      <c r="F4538" s="297"/>
      <c r="G4538" s="297"/>
      <c r="H4538" s="297"/>
      <c r="I4538" s="297"/>
      <c r="J4538" s="297"/>
      <c r="K4538" s="297"/>
      <c r="L4538" s="141">
        <f>+D4538</f>
        <v>30400000</v>
      </c>
      <c r="M4538" s="142"/>
      <c r="N4538" s="142"/>
      <c r="P4538" s="156"/>
      <c r="Q4538" s="156"/>
      <c r="R4538" s="158"/>
      <c r="S4538" s="158"/>
      <c r="T4538" s="30"/>
    </row>
    <row r="4539" spans="1:22" s="31" customFormat="1" ht="15" x14ac:dyDescent="0.25">
      <c r="B4539" s="100">
        <v>44623.125</v>
      </c>
      <c r="C4539" s="92" t="s">
        <v>4212</v>
      </c>
      <c r="D4539" s="23"/>
      <c r="E4539" s="23">
        <v>2660000</v>
      </c>
      <c r="F4539" s="93"/>
      <c r="G4539" s="93">
        <f>+E4539</f>
        <v>2660000</v>
      </c>
      <c r="H4539" s="94"/>
      <c r="I4539" s="94"/>
      <c r="J4539" s="94">
        <v>18192.5</v>
      </c>
      <c r="K4539" s="18">
        <f>+G4539-H4539-I4539-J4539</f>
        <v>2641807.5</v>
      </c>
      <c r="L4539" s="19">
        <f>+L4538-G4539</f>
        <v>27740000</v>
      </c>
      <c r="M4539" s="96"/>
      <c r="N4539" s="96"/>
      <c r="O4539" s="149">
        <f>+VLOOKUP(A4538,'[1]ANEXO 7 - PPTO VIG 2022'!$G$9:$AB$201,21,)-L4539</f>
        <v>0</v>
      </c>
      <c r="P4539" s="234">
        <v>9430256080</v>
      </c>
      <c r="Q4539" s="235">
        <v>44562</v>
      </c>
      <c r="R4539" s="236">
        <v>125000</v>
      </c>
      <c r="S4539" s="236">
        <v>160000</v>
      </c>
      <c r="T4539" s="30"/>
      <c r="U4539" s="146"/>
      <c r="V4539" s="146"/>
    </row>
    <row r="4540" spans="1:22" s="31" customFormat="1" ht="15" hidden="1" x14ac:dyDescent="0.25">
      <c r="B4540" s="215"/>
      <c r="C4540" s="216"/>
      <c r="D4540" s="217"/>
      <c r="E4540" s="217"/>
      <c r="F4540" s="219"/>
      <c r="G4540" s="219"/>
      <c r="H4540" s="218"/>
      <c r="I4540" s="218"/>
      <c r="J4540" s="218"/>
      <c r="K4540" s="41"/>
      <c r="L4540" s="20"/>
      <c r="M4540" s="96"/>
      <c r="N4540" s="96"/>
      <c r="O4540" s="81"/>
      <c r="P4540" s="234"/>
      <c r="Q4540" s="238"/>
      <c r="R4540" s="237"/>
      <c r="S4540" s="237"/>
      <c r="T4540" s="30"/>
      <c r="U4540" s="146"/>
      <c r="V4540" s="146"/>
    </row>
    <row r="4541" spans="1:22" s="31" customFormat="1" ht="15" hidden="1" x14ac:dyDescent="0.25">
      <c r="A4541" s="31">
        <v>3042022</v>
      </c>
      <c r="B4541" s="139" t="s">
        <v>4213</v>
      </c>
      <c r="C4541" s="288"/>
      <c r="D4541" s="289">
        <v>52960128</v>
      </c>
      <c r="E4541" s="289">
        <f>+D4541</f>
        <v>52960128</v>
      </c>
      <c r="F4541" s="289"/>
      <c r="G4541" s="289"/>
      <c r="H4541" s="289"/>
      <c r="I4541" s="289"/>
      <c r="J4541" s="289"/>
      <c r="K4541" s="289"/>
      <c r="L4541" s="141">
        <f>+D4541</f>
        <v>52960128</v>
      </c>
      <c r="M4541" s="142"/>
      <c r="N4541" s="142"/>
      <c r="P4541" s="156"/>
      <c r="Q4541" s="156"/>
      <c r="R4541" s="158"/>
      <c r="S4541" s="158"/>
      <c r="T4541" s="30"/>
    </row>
    <row r="4542" spans="1:22" s="31" customFormat="1" ht="15" x14ac:dyDescent="0.25">
      <c r="B4542" s="100">
        <v>44629.125</v>
      </c>
      <c r="C4542" s="92" t="s">
        <v>4214</v>
      </c>
      <c r="D4542" s="23"/>
      <c r="E4542" s="23">
        <v>294222</v>
      </c>
      <c r="F4542" s="93"/>
      <c r="G4542" s="93">
        <f>+E4542</f>
        <v>294222</v>
      </c>
      <c r="H4542" s="94">
        <v>7046.49</v>
      </c>
      <c r="I4542" s="94">
        <v>0</v>
      </c>
      <c r="J4542" s="94">
        <v>1893.9</v>
      </c>
      <c r="K4542" s="18">
        <f>+G4542-H4542-I4542-J4542</f>
        <v>285281.61</v>
      </c>
      <c r="L4542" s="19">
        <f>+L4541-G4542</f>
        <v>52665906</v>
      </c>
      <c r="M4542" s="96"/>
      <c r="N4542" s="96"/>
      <c r="O4542" s="149">
        <f>+VLOOKUP(A4541,'[1]ANEXO 7 - PPTO VIG 2022'!$G$9:$AB$201,21,)-L4543</f>
        <v>0</v>
      </c>
      <c r="P4542" s="231">
        <v>9428341435</v>
      </c>
      <c r="Q4542" s="232">
        <v>44531</v>
      </c>
      <c r="R4542" s="233">
        <v>630000</v>
      </c>
      <c r="S4542" s="233">
        <v>856800</v>
      </c>
      <c r="T4542" s="30"/>
      <c r="U4542" s="146"/>
      <c r="V4542" s="146"/>
    </row>
    <row r="4543" spans="1:22" s="31" customFormat="1" ht="15" x14ac:dyDescent="0.25">
      <c r="B4543" s="215">
        <v>44634.083333333336</v>
      </c>
      <c r="C4543" s="92" t="s">
        <v>4215</v>
      </c>
      <c r="D4543" s="23"/>
      <c r="E4543" s="23">
        <v>8826688</v>
      </c>
      <c r="F4543" s="93"/>
      <c r="G4543" s="93">
        <f>+E4543</f>
        <v>8826688</v>
      </c>
      <c r="H4543" s="94">
        <v>211395.47</v>
      </c>
      <c r="I4543" s="94">
        <v>741738.49</v>
      </c>
      <c r="J4543" s="94">
        <v>56817.17</v>
      </c>
      <c r="K4543" s="18">
        <f>+G4543-H4543-I4543-J4543</f>
        <v>7816736.8699999992</v>
      </c>
      <c r="L4543" s="19">
        <f>+L4542-G4543</f>
        <v>43839218</v>
      </c>
      <c r="M4543" s="96"/>
      <c r="N4543" s="96"/>
      <c r="O4543" s="81"/>
      <c r="P4543" s="234">
        <v>9430877827</v>
      </c>
      <c r="Q4543" s="235">
        <v>44562</v>
      </c>
      <c r="R4543" s="237">
        <v>125000</v>
      </c>
      <c r="S4543" s="237">
        <v>160000</v>
      </c>
      <c r="T4543" s="30"/>
      <c r="U4543" s="146"/>
      <c r="V4543" s="146"/>
    </row>
    <row r="4544" spans="1:22" s="31" customFormat="1" ht="15" hidden="1" x14ac:dyDescent="0.25">
      <c r="A4544" s="31">
        <v>3392022</v>
      </c>
      <c r="B4544" s="139" t="s">
        <v>4216</v>
      </c>
      <c r="C4544" s="296"/>
      <c r="D4544" s="297">
        <v>39720096</v>
      </c>
      <c r="E4544" s="297">
        <f>+D4544</f>
        <v>39720096</v>
      </c>
      <c r="F4544" s="297"/>
      <c r="G4544" s="297"/>
      <c r="H4544" s="297"/>
      <c r="I4544" s="297"/>
      <c r="J4544" s="297"/>
      <c r="K4544" s="297"/>
      <c r="L4544" s="141">
        <f>+D4544</f>
        <v>39720096</v>
      </c>
      <c r="M4544" s="142"/>
      <c r="N4544" s="142"/>
      <c r="P4544" s="156"/>
      <c r="Q4544" s="156"/>
      <c r="R4544" s="158"/>
      <c r="S4544" s="158"/>
      <c r="T4544" s="30"/>
    </row>
    <row r="4545" spans="1:22" s="31" customFormat="1" ht="15" x14ac:dyDescent="0.25">
      <c r="B4545" s="100">
        <v>44629.125</v>
      </c>
      <c r="C4545" s="92" t="s">
        <v>4217</v>
      </c>
      <c r="D4545" s="23"/>
      <c r="E4545" s="23">
        <v>2648006</v>
      </c>
      <c r="F4545" s="93"/>
      <c r="G4545" s="93">
        <f>+E4545</f>
        <v>2648006</v>
      </c>
      <c r="H4545" s="94"/>
      <c r="I4545" s="94">
        <v>0</v>
      </c>
      <c r="J4545" s="94">
        <v>17971.38</v>
      </c>
      <c r="K4545" s="18">
        <f>+G4545-H4545-I4545-J4545</f>
        <v>2630034.62</v>
      </c>
      <c r="L4545" s="19">
        <f>+L4544-G4545</f>
        <v>37072090</v>
      </c>
      <c r="M4545" s="96"/>
      <c r="N4545" s="96"/>
      <c r="O4545" s="149">
        <f>+VLOOKUP(A4544,'[1]ANEXO 7 - PPTO VIG 2022'!$G$9:$AB$201,21,)-L4545</f>
        <v>0</v>
      </c>
      <c r="P4545" s="234">
        <v>9430399226</v>
      </c>
      <c r="Q4545" s="235">
        <v>44562</v>
      </c>
      <c r="R4545" s="236">
        <v>214300</v>
      </c>
      <c r="S4545" s="236">
        <v>274300</v>
      </c>
      <c r="T4545" s="30"/>
      <c r="U4545" s="146"/>
      <c r="V4545" s="146"/>
    </row>
    <row r="4546" spans="1:22" s="31" customFormat="1" ht="15" hidden="1" x14ac:dyDescent="0.25">
      <c r="B4546" s="215"/>
      <c r="C4546" s="216"/>
      <c r="D4546" s="217"/>
      <c r="E4546" s="217"/>
      <c r="F4546" s="219"/>
      <c r="G4546" s="219"/>
      <c r="H4546" s="218"/>
      <c r="I4546" s="218"/>
      <c r="J4546" s="218"/>
      <c r="K4546" s="41"/>
      <c r="L4546" s="20"/>
      <c r="M4546" s="96"/>
      <c r="N4546" s="96"/>
      <c r="O4546" s="81"/>
      <c r="P4546" s="234"/>
      <c r="Q4546" s="238"/>
      <c r="R4546" s="237"/>
      <c r="S4546" s="237"/>
      <c r="T4546" s="30"/>
      <c r="U4546" s="146"/>
      <c r="V4546" s="146"/>
    </row>
    <row r="4547" spans="1:22" s="31" customFormat="1" ht="15" hidden="1" x14ac:dyDescent="0.25">
      <c r="A4547" s="31">
        <v>5222022</v>
      </c>
      <c r="B4547" s="139" t="s">
        <v>4218</v>
      </c>
      <c r="C4547" s="288"/>
      <c r="D4547" s="289">
        <v>79440192</v>
      </c>
      <c r="E4547" s="289">
        <f>+D4547</f>
        <v>79440192</v>
      </c>
      <c r="F4547" s="289"/>
      <c r="G4547" s="289"/>
      <c r="H4547" s="289"/>
      <c r="I4547" s="289"/>
      <c r="J4547" s="289"/>
      <c r="K4547" s="289"/>
      <c r="L4547" s="141">
        <f>+D4547</f>
        <v>79440192</v>
      </c>
      <c r="M4547" s="142"/>
      <c r="N4547" s="142"/>
      <c r="P4547" s="156"/>
      <c r="Q4547" s="156"/>
      <c r="R4547" s="158"/>
      <c r="S4547" s="158"/>
      <c r="T4547" s="30"/>
    </row>
    <row r="4548" spans="1:22" s="31" customFormat="1" ht="15" x14ac:dyDescent="0.25">
      <c r="B4548" s="100">
        <v>44628.125</v>
      </c>
      <c r="C4548" s="92" t="s">
        <v>4219</v>
      </c>
      <c r="D4548" s="23"/>
      <c r="E4548" s="23">
        <v>8826688</v>
      </c>
      <c r="F4548" s="93"/>
      <c r="G4548" s="93">
        <f>+E4548</f>
        <v>8826688</v>
      </c>
      <c r="H4548" s="94"/>
      <c r="I4548" s="94">
        <v>300024.74</v>
      </c>
      <c r="J4548" s="94">
        <v>59904.61</v>
      </c>
      <c r="K4548" s="18">
        <f>+G4548-H4548-I4548-J4548</f>
        <v>8466758.6500000004</v>
      </c>
      <c r="L4548" s="19">
        <f>+L4547-G4548</f>
        <v>70613504</v>
      </c>
      <c r="M4548" s="96"/>
      <c r="N4548" s="96"/>
      <c r="O4548" s="149">
        <f>+VLOOKUP(A4547,'[1]ANEXO 7 - PPTO VIG 2022'!$G$9:$AB$201,21,)-L4548</f>
        <v>0</v>
      </c>
      <c r="P4548" s="234">
        <v>56890871</v>
      </c>
      <c r="Q4548" s="235">
        <v>44593</v>
      </c>
      <c r="R4548" s="236">
        <v>441400</v>
      </c>
      <c r="S4548" s="236">
        <v>565000</v>
      </c>
      <c r="T4548" s="30"/>
      <c r="U4548" s="146"/>
      <c r="V4548" s="146"/>
    </row>
    <row r="4549" spans="1:22" s="31" customFormat="1" ht="15" hidden="1" x14ac:dyDescent="0.25">
      <c r="B4549" s="215"/>
      <c r="C4549" s="216"/>
      <c r="D4549" s="217"/>
      <c r="E4549" s="217"/>
      <c r="F4549" s="219"/>
      <c r="G4549" s="219"/>
      <c r="H4549" s="218"/>
      <c r="I4549" s="218"/>
      <c r="J4549" s="218"/>
      <c r="K4549" s="41"/>
      <c r="L4549" s="20"/>
      <c r="M4549" s="96"/>
      <c r="N4549" s="96"/>
      <c r="O4549" s="81"/>
      <c r="P4549" s="234"/>
      <c r="Q4549" s="238"/>
      <c r="R4549" s="237"/>
      <c r="S4549" s="237"/>
      <c r="T4549" s="30"/>
      <c r="U4549" s="146"/>
      <c r="V4549" s="146"/>
    </row>
    <row r="4550" spans="1:22" s="31" customFormat="1" ht="15" hidden="1" x14ac:dyDescent="0.25">
      <c r="A4550" s="31">
        <v>1792022</v>
      </c>
      <c r="B4550" s="139" t="s">
        <v>4220</v>
      </c>
      <c r="C4550" s="288"/>
      <c r="D4550" s="289">
        <v>100997680</v>
      </c>
      <c r="E4550" s="289">
        <f>+D4550</f>
        <v>100997680</v>
      </c>
      <c r="F4550" s="289"/>
      <c r="G4550" s="289"/>
      <c r="H4550" s="289"/>
      <c r="I4550" s="289"/>
      <c r="J4550" s="289"/>
      <c r="K4550" s="289"/>
      <c r="L4550" s="141">
        <f>+D4550</f>
        <v>100997680</v>
      </c>
      <c r="M4550" s="142"/>
      <c r="N4550" s="142"/>
      <c r="P4550" s="156"/>
      <c r="Q4550" s="156"/>
      <c r="R4550" s="158"/>
      <c r="S4550" s="158"/>
      <c r="T4550" s="30"/>
    </row>
    <row r="4551" spans="1:22" s="31" customFormat="1" ht="15" x14ac:dyDescent="0.25">
      <c r="B4551" s="100">
        <v>44629.125</v>
      </c>
      <c r="C4551" s="92" t="s">
        <v>4221</v>
      </c>
      <c r="D4551" s="23"/>
      <c r="E4551" s="23">
        <v>5375227</v>
      </c>
      <c r="F4551" s="93"/>
      <c r="G4551" s="93">
        <f>+E4551</f>
        <v>5375227</v>
      </c>
      <c r="H4551" s="94"/>
      <c r="I4551" s="94"/>
      <c r="J4551" s="94">
        <v>36480.379999999997</v>
      </c>
      <c r="K4551" s="18">
        <f>+G4551-H4551-I4551-J4551</f>
        <v>5338746.62</v>
      </c>
      <c r="L4551" s="19">
        <f>+L4550-G4551</f>
        <v>95622453</v>
      </c>
      <c r="M4551" s="96"/>
      <c r="N4551" s="96"/>
      <c r="O4551" s="149">
        <f>+VLOOKUP(A4550,'[1]ANEXO 7 - PPTO VIG 2022'!$G$9:$AB$201,21,)-L4552</f>
        <v>0</v>
      </c>
      <c r="P4551" s="234">
        <v>1042587237</v>
      </c>
      <c r="Q4551" s="235">
        <v>44562</v>
      </c>
      <c r="R4551" s="236">
        <v>283000</v>
      </c>
      <c r="S4551" s="236">
        <v>362300</v>
      </c>
      <c r="T4551" s="30"/>
      <c r="U4551" s="146"/>
      <c r="V4551" s="146"/>
    </row>
    <row r="4552" spans="1:22" s="31" customFormat="1" ht="15" x14ac:dyDescent="0.25">
      <c r="B4552" s="215">
        <v>44643.083333333336</v>
      </c>
      <c r="C4552" s="92" t="s">
        <v>4222</v>
      </c>
      <c r="D4552" s="23"/>
      <c r="E4552" s="23">
        <v>8487200</v>
      </c>
      <c r="F4552" s="93"/>
      <c r="G4552" s="93">
        <f>+E4552</f>
        <v>8487200</v>
      </c>
      <c r="H4552" s="94"/>
      <c r="I4552" s="94">
        <v>259720.4</v>
      </c>
      <c r="J4552" s="94">
        <v>57600.59</v>
      </c>
      <c r="K4552" s="18">
        <f>+G4552-H4552-I4552-J4552</f>
        <v>8169879.0099999998</v>
      </c>
      <c r="L4552" s="19">
        <f>+L4551-G4552</f>
        <v>87135253</v>
      </c>
      <c r="M4552" s="96"/>
      <c r="N4552" s="96"/>
      <c r="O4552" s="81"/>
      <c r="P4552" s="234">
        <v>1044100672</v>
      </c>
      <c r="Q4552" s="235">
        <v>44593</v>
      </c>
      <c r="R4552" s="236">
        <v>824400</v>
      </c>
      <c r="S4552" s="236">
        <v>1121200</v>
      </c>
      <c r="T4552" s="30"/>
      <c r="U4552" s="146"/>
      <c r="V4552" s="146"/>
    </row>
    <row r="4553" spans="1:22" s="31" customFormat="1" ht="15" hidden="1" x14ac:dyDescent="0.25">
      <c r="A4553" s="240">
        <v>1120221</v>
      </c>
      <c r="B4553" s="139" t="s">
        <v>4223</v>
      </c>
      <c r="C4553" s="296"/>
      <c r="D4553" s="297">
        <v>87550000</v>
      </c>
      <c r="E4553" s="297">
        <f>+D4553</f>
        <v>87550000</v>
      </c>
      <c r="F4553" s="297"/>
      <c r="G4553" s="297"/>
      <c r="H4553" s="297"/>
      <c r="I4553" s="297"/>
      <c r="J4553" s="297"/>
      <c r="K4553" s="297"/>
      <c r="L4553" s="141">
        <f>+D4553</f>
        <v>87550000</v>
      </c>
      <c r="M4553" s="142"/>
      <c r="N4553" s="142"/>
      <c r="P4553" s="156"/>
      <c r="Q4553" s="156"/>
      <c r="R4553" s="158"/>
      <c r="S4553" s="158"/>
      <c r="T4553" s="30"/>
    </row>
    <row r="4554" spans="1:22" s="31" customFormat="1" ht="15" x14ac:dyDescent="0.25">
      <c r="B4554" s="100">
        <v>44630.125</v>
      </c>
      <c r="C4554" s="92" t="s">
        <v>4224</v>
      </c>
      <c r="D4554" s="23"/>
      <c r="E4554" s="23">
        <v>1700000</v>
      </c>
      <c r="F4554" s="93"/>
      <c r="G4554" s="93">
        <f>+E4554</f>
        <v>1700000</v>
      </c>
      <c r="H4554" s="94"/>
      <c r="I4554" s="94"/>
      <c r="J4554" s="94">
        <v>11537.49</v>
      </c>
      <c r="K4554" s="18">
        <f>+G4554-H4554-I4554-J4554</f>
        <v>1688462.51</v>
      </c>
      <c r="L4554" s="19">
        <f>+L4553-G4554</f>
        <v>85850000</v>
      </c>
      <c r="M4554" s="96"/>
      <c r="N4554" s="96"/>
      <c r="O4554" s="149">
        <f>+VLOOKUP(A4553,'[1]ANEXO 7 - PPTO VIG 2022'!$G$9:$AB$201,21,)-L4554</f>
        <v>0</v>
      </c>
      <c r="P4554" s="234">
        <v>56441148</v>
      </c>
      <c r="Q4554" s="235">
        <v>44562</v>
      </c>
      <c r="R4554" s="236">
        <v>375000</v>
      </c>
      <c r="S4554" s="236">
        <v>479900</v>
      </c>
      <c r="T4554" s="30"/>
      <c r="U4554" s="146"/>
      <c r="V4554" s="146"/>
    </row>
    <row r="4555" spans="1:22" s="31" customFormat="1" ht="15" hidden="1" x14ac:dyDescent="0.25">
      <c r="B4555" s="215"/>
      <c r="C4555" s="216"/>
      <c r="D4555" s="217"/>
      <c r="E4555" s="217"/>
      <c r="F4555" s="219"/>
      <c r="G4555" s="219"/>
      <c r="H4555" s="218"/>
      <c r="I4555" s="218"/>
      <c r="J4555" s="218"/>
      <c r="K4555" s="41"/>
      <c r="L4555" s="20"/>
      <c r="M4555" s="96"/>
      <c r="N4555" s="96"/>
      <c r="O4555" s="81"/>
      <c r="P4555" s="234"/>
      <c r="Q4555" s="238"/>
      <c r="R4555" s="237"/>
      <c r="S4555" s="237"/>
      <c r="T4555" s="30"/>
      <c r="U4555" s="146"/>
      <c r="V4555" s="146"/>
    </row>
    <row r="4556" spans="1:22" s="31" customFormat="1" ht="15" hidden="1" x14ac:dyDescent="0.25">
      <c r="A4556" s="240">
        <v>1320221</v>
      </c>
      <c r="B4556" s="139" t="s">
        <v>4225</v>
      </c>
      <c r="C4556" s="288"/>
      <c r="D4556" s="289">
        <v>97850000</v>
      </c>
      <c r="E4556" s="289">
        <f>+D4556</f>
        <v>97850000</v>
      </c>
      <c r="F4556" s="289"/>
      <c r="G4556" s="289"/>
      <c r="H4556" s="289"/>
      <c r="I4556" s="289"/>
      <c r="J4556" s="289"/>
      <c r="K4556" s="289"/>
      <c r="L4556" s="141">
        <f>+D4556</f>
        <v>97850000</v>
      </c>
      <c r="M4556" s="142"/>
      <c r="N4556" s="142"/>
      <c r="P4556" s="156"/>
      <c r="Q4556" s="156"/>
      <c r="R4556" s="158"/>
      <c r="S4556" s="158"/>
      <c r="T4556" s="30"/>
    </row>
    <row r="4557" spans="1:22" s="31" customFormat="1" ht="15" x14ac:dyDescent="0.25">
      <c r="B4557" s="100">
        <v>44629.125</v>
      </c>
      <c r="C4557" s="92" t="s">
        <v>4226</v>
      </c>
      <c r="D4557" s="23"/>
      <c r="E4557" s="23">
        <v>1900000</v>
      </c>
      <c r="F4557" s="93"/>
      <c r="G4557" s="93">
        <f>+E4557</f>
        <v>1900000</v>
      </c>
      <c r="H4557" s="94"/>
      <c r="I4557" s="94">
        <v>190730.56</v>
      </c>
      <c r="J4557" s="94">
        <v>12894.84</v>
      </c>
      <c r="K4557" s="18">
        <f>+G4557-H4557-I4557-J4557</f>
        <v>1696374.5999999999</v>
      </c>
      <c r="L4557" s="19">
        <f>+L4556-G4557</f>
        <v>95950000</v>
      </c>
      <c r="M4557" s="96"/>
      <c r="N4557" s="96"/>
      <c r="O4557" s="149">
        <f>+VLOOKUP(A4556,'[1]ANEXO 7 - PPTO VIG 2022'!$G$9:$AB$201,21,)-L4557</f>
        <v>0</v>
      </c>
      <c r="P4557" s="231">
        <v>56441148</v>
      </c>
      <c r="Q4557" s="232">
        <v>44562</v>
      </c>
      <c r="R4557" s="233">
        <v>375000</v>
      </c>
      <c r="S4557" s="233">
        <v>479900</v>
      </c>
      <c r="T4557" s="30"/>
      <c r="U4557" s="146"/>
      <c r="V4557" s="146"/>
    </row>
    <row r="4558" spans="1:22" s="31" customFormat="1" ht="15" hidden="1" x14ac:dyDescent="0.25">
      <c r="B4558" s="215"/>
      <c r="C4558" s="216"/>
      <c r="D4558" s="217"/>
      <c r="E4558" s="217"/>
      <c r="F4558" s="219"/>
      <c r="G4558" s="219"/>
      <c r="H4558" s="218"/>
      <c r="I4558" s="218"/>
      <c r="J4558" s="218"/>
      <c r="K4558" s="41"/>
      <c r="L4558" s="20"/>
      <c r="M4558" s="96"/>
      <c r="N4558" s="96"/>
      <c r="O4558" s="81"/>
      <c r="P4558" s="234"/>
      <c r="Q4558" s="238"/>
      <c r="R4558" s="237"/>
      <c r="S4558" s="237"/>
      <c r="T4558" s="30"/>
      <c r="U4558" s="146"/>
      <c r="V4558" s="146"/>
    </row>
    <row r="4559" spans="1:22" s="31" customFormat="1" ht="15" hidden="1" x14ac:dyDescent="0.25">
      <c r="A4559" s="31">
        <v>3412022</v>
      </c>
      <c r="B4559" s="139" t="s">
        <v>4227</v>
      </c>
      <c r="C4559" s="288"/>
      <c r="D4559" s="289">
        <v>97036987</v>
      </c>
      <c r="E4559" s="289">
        <f>+D4559</f>
        <v>97036987</v>
      </c>
      <c r="F4559" s="289"/>
      <c r="G4559" s="289"/>
      <c r="H4559" s="289"/>
      <c r="I4559" s="289"/>
      <c r="J4559" s="289"/>
      <c r="K4559" s="289"/>
      <c r="L4559" s="141">
        <f>+D4559</f>
        <v>97036987</v>
      </c>
      <c r="M4559" s="142"/>
      <c r="N4559" s="142"/>
      <c r="P4559" s="156"/>
      <c r="Q4559" s="156"/>
      <c r="R4559" s="158"/>
      <c r="S4559" s="158"/>
      <c r="T4559" s="30"/>
    </row>
    <row r="4560" spans="1:22" s="31" customFormat="1" ht="15" x14ac:dyDescent="0.25">
      <c r="B4560" s="100">
        <v>44629.125</v>
      </c>
      <c r="C4560" s="92" t="s">
        <v>4228</v>
      </c>
      <c r="D4560" s="23"/>
      <c r="E4560" s="23">
        <v>1980347</v>
      </c>
      <c r="F4560" s="93"/>
      <c r="G4560" s="93">
        <f>+E4560</f>
        <v>1980347</v>
      </c>
      <c r="H4560" s="94"/>
      <c r="I4560" s="94"/>
      <c r="J4560" s="94">
        <v>15169.46</v>
      </c>
      <c r="K4560" s="18">
        <f>+G4560-H4560-I4560-J4560</f>
        <v>1965177.54</v>
      </c>
      <c r="L4560" s="19">
        <f>+L4559-G4560</f>
        <v>95056640</v>
      </c>
      <c r="M4560" s="96"/>
      <c r="N4560" s="96"/>
      <c r="O4560" s="149">
        <f>+VLOOKUP(A4559,'[1]ANEXO 7 - PPTO VIG 2022'!$G$9:$AB$201,21,)-L4561</f>
        <v>0</v>
      </c>
      <c r="P4560" s="231">
        <v>55320540</v>
      </c>
      <c r="Q4560" s="232">
        <v>44531</v>
      </c>
      <c r="R4560" s="233">
        <v>875000</v>
      </c>
      <c r="S4560" s="233">
        <v>1190000</v>
      </c>
      <c r="T4560" s="30"/>
      <c r="U4560" s="146"/>
      <c r="V4560" s="146"/>
    </row>
    <row r="4561" spans="1:22" s="31" customFormat="1" ht="15" x14ac:dyDescent="0.25">
      <c r="B4561" s="215">
        <v>44643.083333333336</v>
      </c>
      <c r="C4561" s="92" t="s">
        <v>4229</v>
      </c>
      <c r="D4561" s="23"/>
      <c r="E4561" s="23">
        <v>8487200</v>
      </c>
      <c r="F4561" s="93"/>
      <c r="G4561" s="93">
        <f>+E4561</f>
        <v>8487200</v>
      </c>
      <c r="H4561" s="94"/>
      <c r="I4561" s="94">
        <v>375526.04</v>
      </c>
      <c r="J4561" s="94">
        <v>57600.59</v>
      </c>
      <c r="K4561" s="18">
        <f>+G4561-H4561-I4561-J4561</f>
        <v>8054073.3700000001</v>
      </c>
      <c r="L4561" s="19">
        <f>+L4560-G4561</f>
        <v>86569440</v>
      </c>
      <c r="M4561" s="96"/>
      <c r="N4561" s="96"/>
      <c r="O4561" s="81"/>
      <c r="P4561" s="234">
        <v>56547058</v>
      </c>
      <c r="Q4561" s="235">
        <v>44562</v>
      </c>
      <c r="R4561" s="237">
        <v>875000</v>
      </c>
      <c r="S4561" s="237">
        <v>1190000</v>
      </c>
      <c r="T4561" s="30"/>
      <c r="U4561" s="146"/>
      <c r="V4561" s="146"/>
    </row>
    <row r="4562" spans="1:22" s="31" customFormat="1" ht="15" hidden="1" x14ac:dyDescent="0.25">
      <c r="A4562" s="31">
        <v>3912022</v>
      </c>
      <c r="B4562" s="139" t="s">
        <v>4230</v>
      </c>
      <c r="C4562" s="296"/>
      <c r="D4562" s="297">
        <v>70864000</v>
      </c>
      <c r="E4562" s="297">
        <f>+D4562</f>
        <v>70864000</v>
      </c>
      <c r="F4562" s="297"/>
      <c r="G4562" s="297"/>
      <c r="H4562" s="297"/>
      <c r="I4562" s="297"/>
      <c r="J4562" s="297"/>
      <c r="K4562" s="297"/>
      <c r="L4562" s="141">
        <f>+D4562</f>
        <v>70864000</v>
      </c>
      <c r="M4562" s="142"/>
      <c r="N4562" s="142"/>
      <c r="P4562" s="156"/>
      <c r="Q4562" s="156"/>
      <c r="R4562" s="158"/>
      <c r="S4562" s="158"/>
      <c r="T4562" s="30"/>
    </row>
    <row r="4563" spans="1:22" s="31" customFormat="1" ht="15" x14ac:dyDescent="0.25">
      <c r="B4563" s="100">
        <v>44630.125</v>
      </c>
      <c r="C4563" s="92" t="s">
        <v>4231</v>
      </c>
      <c r="D4563" s="23"/>
      <c r="E4563" s="23">
        <v>2066867</v>
      </c>
      <c r="F4563" s="93"/>
      <c r="G4563" s="93">
        <f>+E4563</f>
        <v>2066867</v>
      </c>
      <c r="H4563" s="94"/>
      <c r="I4563" s="94"/>
      <c r="J4563" s="94">
        <v>14027.33</v>
      </c>
      <c r="K4563" s="18">
        <f>+G4563-H4563-I4563-J4563</f>
        <v>2052839.67</v>
      </c>
      <c r="L4563" s="19">
        <f>+L4562-G4563</f>
        <v>68797133</v>
      </c>
      <c r="M4563" s="96"/>
      <c r="N4563" s="96"/>
      <c r="O4563" s="149">
        <f>+VLOOKUP(A4562,'[1]ANEXO 7 - PPTO VIG 2022'!$G$9:$AB$201,21,)-L4564</f>
        <v>0</v>
      </c>
      <c r="P4563" s="234">
        <v>56320221</v>
      </c>
      <c r="Q4563" s="235">
        <v>44562</v>
      </c>
      <c r="R4563" s="236">
        <v>125000</v>
      </c>
      <c r="S4563" s="236">
        <v>160000</v>
      </c>
      <c r="T4563" s="30"/>
      <c r="U4563" s="146"/>
      <c r="V4563" s="146"/>
    </row>
    <row r="4564" spans="1:22" s="31" customFormat="1" ht="15" x14ac:dyDescent="0.25">
      <c r="B4564" s="215">
        <v>44635.083333333336</v>
      </c>
      <c r="C4564" s="92" t="s">
        <v>4232</v>
      </c>
      <c r="D4564" s="23"/>
      <c r="E4564" s="23">
        <v>8858000</v>
      </c>
      <c r="F4564" s="93"/>
      <c r="G4564" s="93">
        <f>+E4564</f>
        <v>8858000</v>
      </c>
      <c r="H4564" s="94"/>
      <c r="I4564" s="94">
        <v>413847.48</v>
      </c>
      <c r="J4564" s="94">
        <v>60117.120000000003</v>
      </c>
      <c r="K4564" s="18">
        <f>+G4564-H4564-I4564-J4564</f>
        <v>8384035.3999999994</v>
      </c>
      <c r="L4564" s="19">
        <f>+L4563-G4564</f>
        <v>59939133</v>
      </c>
      <c r="M4564" s="96"/>
      <c r="N4564" s="96"/>
      <c r="O4564" s="81"/>
      <c r="P4564" s="234">
        <v>56931423</v>
      </c>
      <c r="Q4564" s="235">
        <v>44593</v>
      </c>
      <c r="R4564" s="236">
        <v>442900</v>
      </c>
      <c r="S4564" s="236">
        <v>567000</v>
      </c>
      <c r="T4564" s="30"/>
      <c r="U4564" s="146"/>
      <c r="V4564" s="146"/>
    </row>
    <row r="4565" spans="1:22" s="31" customFormat="1" ht="15" hidden="1" x14ac:dyDescent="0.25">
      <c r="B4565" s="215"/>
      <c r="C4565" s="216"/>
      <c r="D4565" s="217"/>
      <c r="E4565" s="217"/>
      <c r="F4565" s="219"/>
      <c r="G4565" s="207"/>
      <c r="H4565" s="218"/>
      <c r="I4565" s="218"/>
      <c r="J4565" s="218"/>
      <c r="K4565" s="298"/>
      <c r="L4565" s="19"/>
      <c r="M4565" s="96"/>
      <c r="N4565" s="96"/>
      <c r="O4565" s="81"/>
      <c r="P4565" s="234">
        <v>57872110</v>
      </c>
      <c r="Q4565" s="235">
        <v>44621</v>
      </c>
      <c r="R4565" s="236">
        <v>442900</v>
      </c>
      <c r="S4565" s="236">
        <v>567000</v>
      </c>
      <c r="T4565" s="30"/>
      <c r="U4565" s="146"/>
      <c r="V4565" s="146"/>
    </row>
    <row r="4566" spans="1:22" s="31" customFormat="1" ht="15" hidden="1" x14ac:dyDescent="0.25">
      <c r="A4566" s="31">
        <v>4722022</v>
      </c>
      <c r="B4566" s="139" t="s">
        <v>4233</v>
      </c>
      <c r="C4566" s="288"/>
      <c r="D4566" s="289">
        <v>80000000</v>
      </c>
      <c r="E4566" s="289">
        <f>+D4566</f>
        <v>80000000</v>
      </c>
      <c r="F4566" s="289"/>
      <c r="G4566" s="289"/>
      <c r="H4566" s="289"/>
      <c r="I4566" s="289"/>
      <c r="J4566" s="289"/>
      <c r="K4566" s="289"/>
      <c r="L4566" s="141">
        <f>+D4566</f>
        <v>80000000</v>
      </c>
      <c r="M4566" s="142"/>
      <c r="N4566" s="142"/>
      <c r="P4566" s="156"/>
      <c r="Q4566" s="156"/>
      <c r="R4566" s="158"/>
      <c r="S4566" s="158"/>
      <c r="T4566" s="30"/>
    </row>
    <row r="4567" spans="1:22" s="31" customFormat="1" ht="15" x14ac:dyDescent="0.25">
      <c r="B4567" s="100">
        <v>44630.125</v>
      </c>
      <c r="C4567" s="92" t="s">
        <v>4234</v>
      </c>
      <c r="D4567" s="23"/>
      <c r="E4567" s="23">
        <v>1066667</v>
      </c>
      <c r="F4567" s="93"/>
      <c r="G4567" s="93">
        <f>+E4567</f>
        <v>1066667</v>
      </c>
      <c r="H4567" s="94"/>
      <c r="I4567" s="94"/>
      <c r="J4567" s="94">
        <v>7297.43</v>
      </c>
      <c r="K4567" s="18">
        <f>+G4567-H4567-I4567-J4567</f>
        <v>1059369.57</v>
      </c>
      <c r="L4567" s="19">
        <f>+L4566-G4567</f>
        <v>78933333</v>
      </c>
      <c r="M4567" s="96"/>
      <c r="N4567" s="96"/>
      <c r="O4567" s="149">
        <f>+VLOOKUP(A4566,'[1]ANEXO 7 - PPTO VIG 2022'!$G$9:$AB$201,21,)-L4568</f>
        <v>0</v>
      </c>
      <c r="P4567" s="234">
        <v>8617830000</v>
      </c>
      <c r="Q4567" s="235">
        <v>44562</v>
      </c>
      <c r="R4567" s="236">
        <v>50000</v>
      </c>
      <c r="S4567" s="236">
        <v>64000</v>
      </c>
      <c r="T4567" s="30"/>
      <c r="U4567" s="146"/>
      <c r="V4567" s="146"/>
    </row>
    <row r="4568" spans="1:22" s="31" customFormat="1" ht="15" x14ac:dyDescent="0.25">
      <c r="B4568" s="215">
        <v>44645.083333333336</v>
      </c>
      <c r="C4568" s="92" t="s">
        <v>4235</v>
      </c>
      <c r="D4568" s="23"/>
      <c r="E4568" s="23">
        <v>8000000</v>
      </c>
      <c r="F4568" s="93"/>
      <c r="G4568" s="93">
        <f>+E4568</f>
        <v>8000000</v>
      </c>
      <c r="H4568" s="94"/>
      <c r="I4568" s="94">
        <v>321673.8</v>
      </c>
      <c r="J4568" s="94">
        <v>54294.080000000002</v>
      </c>
      <c r="K4568" s="18">
        <f>+G4568-H4568-I4568-J4568</f>
        <v>7624032.1200000001</v>
      </c>
      <c r="L4568" s="19">
        <f>+L4567-G4568</f>
        <v>70933333</v>
      </c>
      <c r="M4568" s="96"/>
      <c r="N4568" s="96"/>
      <c r="O4568" s="81"/>
      <c r="P4568" s="234">
        <v>22791396</v>
      </c>
      <c r="Q4568" s="235">
        <v>44593</v>
      </c>
      <c r="R4568" s="236">
        <v>400000</v>
      </c>
      <c r="S4568" s="236">
        <v>512000</v>
      </c>
      <c r="T4568" s="30"/>
      <c r="U4568" s="146"/>
      <c r="V4568" s="146"/>
    </row>
    <row r="4569" spans="1:22" s="31" customFormat="1" ht="15" hidden="1" x14ac:dyDescent="0.25">
      <c r="A4569" s="31">
        <v>4572022</v>
      </c>
      <c r="B4569" s="139" t="s">
        <v>4236</v>
      </c>
      <c r="C4569" s="296"/>
      <c r="D4569" s="297">
        <v>46679600</v>
      </c>
      <c r="E4569" s="297">
        <f>+D4569</f>
        <v>46679600</v>
      </c>
      <c r="F4569" s="297"/>
      <c r="G4569" s="297"/>
      <c r="H4569" s="297"/>
      <c r="I4569" s="297"/>
      <c r="J4569" s="297"/>
      <c r="K4569" s="297"/>
      <c r="L4569" s="141">
        <f>+D4569</f>
        <v>46679600</v>
      </c>
      <c r="M4569" s="142"/>
      <c r="N4569" s="142"/>
      <c r="P4569" s="156"/>
      <c r="Q4569" s="156"/>
      <c r="R4569" s="158"/>
      <c r="S4569" s="158"/>
      <c r="T4569" s="30"/>
    </row>
    <row r="4570" spans="1:22" s="31" customFormat="1" ht="15" x14ac:dyDescent="0.25">
      <c r="B4570" s="100">
        <v>44630.125</v>
      </c>
      <c r="C4570" s="92" t="s">
        <v>4237</v>
      </c>
      <c r="D4570" s="23"/>
      <c r="E4570" s="23">
        <v>972491</v>
      </c>
      <c r="F4570" s="93"/>
      <c r="G4570" s="93">
        <f>+E4570</f>
        <v>972491</v>
      </c>
      <c r="H4570" s="94"/>
      <c r="I4570" s="94"/>
      <c r="J4570" s="94">
        <v>6600.06</v>
      </c>
      <c r="K4570" s="18">
        <f>+G4570-H4570-I4570-J4570</f>
        <v>965890.94</v>
      </c>
      <c r="L4570" s="19">
        <f>+L4569-G4570</f>
        <v>45707109</v>
      </c>
      <c r="M4570" s="96"/>
      <c r="N4570" s="96"/>
      <c r="O4570" s="149">
        <f>+VLOOKUP(A4569,'[1]ANEXO 7 - PPTO VIG 2022'!$G$9:$AB$201,21,)-L4571</f>
        <v>0</v>
      </c>
      <c r="P4570" s="234">
        <v>7825152409</v>
      </c>
      <c r="Q4570" s="235">
        <v>44562</v>
      </c>
      <c r="R4570" s="236">
        <v>283300</v>
      </c>
      <c r="S4570" s="236">
        <v>362600</v>
      </c>
      <c r="T4570" s="30"/>
      <c r="U4570" s="146"/>
      <c r="V4570" s="146"/>
    </row>
    <row r="4571" spans="1:22" s="31" customFormat="1" ht="15" x14ac:dyDescent="0.25">
      <c r="B4571" s="215">
        <v>44629.125</v>
      </c>
      <c r="C4571" s="92" t="s">
        <v>4238</v>
      </c>
      <c r="D4571" s="23"/>
      <c r="E4571" s="23">
        <v>5834950</v>
      </c>
      <c r="F4571" s="93"/>
      <c r="G4571" s="93">
        <f>+E4571</f>
        <v>5834950</v>
      </c>
      <c r="H4571" s="94"/>
      <c r="I4571" s="94"/>
      <c r="J4571" s="94">
        <v>39600.410000000003</v>
      </c>
      <c r="K4571" s="18">
        <f>+G4571-H4571-I4571-J4571</f>
        <v>5795349.5899999999</v>
      </c>
      <c r="L4571" s="19">
        <f>+L4570-G4571</f>
        <v>39872159</v>
      </c>
      <c r="M4571" s="96"/>
      <c r="N4571" s="96"/>
      <c r="O4571" s="81"/>
      <c r="P4571" s="234">
        <v>7826994764</v>
      </c>
      <c r="Q4571" s="235">
        <v>44593</v>
      </c>
      <c r="R4571" s="236">
        <v>291800</v>
      </c>
      <c r="S4571" s="236">
        <v>373500</v>
      </c>
      <c r="T4571" s="30"/>
      <c r="U4571" s="146"/>
      <c r="V4571" s="146"/>
    </row>
    <row r="4572" spans="1:22" s="31" customFormat="1" ht="15" hidden="1" x14ac:dyDescent="0.25">
      <c r="A4572" s="31">
        <v>4882022</v>
      </c>
      <c r="B4572" s="139" t="s">
        <v>4239</v>
      </c>
      <c r="C4572" s="296"/>
      <c r="D4572" s="297">
        <v>14400000</v>
      </c>
      <c r="E4572" s="297">
        <f>+D4572</f>
        <v>14400000</v>
      </c>
      <c r="F4572" s="297"/>
      <c r="G4572" s="297"/>
      <c r="H4572" s="297"/>
      <c r="I4572" s="297"/>
      <c r="J4572" s="297"/>
      <c r="K4572" s="297"/>
      <c r="L4572" s="141">
        <f>+D4572</f>
        <v>14400000</v>
      </c>
      <c r="M4572" s="142"/>
      <c r="N4572" s="142"/>
      <c r="P4572" s="156"/>
      <c r="Q4572" s="156"/>
      <c r="R4572" s="158"/>
      <c r="S4572" s="158"/>
      <c r="T4572" s="30"/>
    </row>
    <row r="4573" spans="1:22" s="31" customFormat="1" ht="15" x14ac:dyDescent="0.25">
      <c r="B4573" s="100">
        <v>44630.125</v>
      </c>
      <c r="C4573" s="92" t="s">
        <v>4240</v>
      </c>
      <c r="D4573" s="23"/>
      <c r="E4573" s="23">
        <v>1620000</v>
      </c>
      <c r="F4573" s="93"/>
      <c r="G4573" s="93">
        <f>+E4573</f>
        <v>1620000</v>
      </c>
      <c r="H4573" s="94"/>
      <c r="I4573" s="94"/>
      <c r="J4573" s="94">
        <v>10994.55</v>
      </c>
      <c r="K4573" s="18">
        <f>+G4573-H4573-I4573-J4573</f>
        <v>1609005.45</v>
      </c>
      <c r="L4573" s="19">
        <f>+L4572-G4573</f>
        <v>12780000</v>
      </c>
      <c r="M4573" s="96"/>
      <c r="N4573" s="96"/>
      <c r="O4573" s="149">
        <f>+VLOOKUP(A4572,'[1]ANEXO 7 - PPTO VIG 2022'!$G$9:$AB$201,21,)-L4573</f>
        <v>0</v>
      </c>
      <c r="P4573" s="234">
        <v>9431308306</v>
      </c>
      <c r="Q4573" s="235">
        <v>44562</v>
      </c>
      <c r="R4573" s="236">
        <v>125000</v>
      </c>
      <c r="S4573" s="236">
        <v>160000</v>
      </c>
      <c r="T4573" s="30"/>
      <c r="U4573" s="146"/>
      <c r="V4573" s="146"/>
    </row>
    <row r="4574" spans="1:22" s="31" customFormat="1" ht="15" hidden="1" x14ac:dyDescent="0.25">
      <c r="B4574" s="215"/>
      <c r="C4574" s="216"/>
      <c r="D4574" s="217"/>
      <c r="E4574" s="217"/>
      <c r="F4574" s="219"/>
      <c r="G4574" s="219"/>
      <c r="H4574" s="218"/>
      <c r="I4574" s="218"/>
      <c r="J4574" s="218"/>
      <c r="K4574" s="41"/>
      <c r="L4574" s="20"/>
      <c r="M4574" s="96"/>
      <c r="N4574" s="96"/>
      <c r="O4574" s="81"/>
      <c r="P4574" s="234"/>
      <c r="Q4574" s="238"/>
      <c r="R4574" s="237"/>
      <c r="S4574" s="237"/>
      <c r="T4574" s="30"/>
      <c r="U4574" s="146"/>
      <c r="V4574" s="146"/>
    </row>
    <row r="4575" spans="1:22" s="31" customFormat="1" ht="15" hidden="1" x14ac:dyDescent="0.25">
      <c r="A4575" s="31">
        <v>3732022</v>
      </c>
      <c r="B4575" s="139" t="s">
        <v>4241</v>
      </c>
      <c r="C4575" s="288"/>
      <c r="D4575" s="289">
        <v>85402450</v>
      </c>
      <c r="E4575" s="289">
        <f>+D4575</f>
        <v>85402450</v>
      </c>
      <c r="F4575" s="289"/>
      <c r="G4575" s="289"/>
      <c r="H4575" s="289"/>
      <c r="I4575" s="289"/>
      <c r="J4575" s="289"/>
      <c r="K4575" s="289"/>
      <c r="L4575" s="141">
        <f>+D4575</f>
        <v>85402450</v>
      </c>
      <c r="M4575" s="142"/>
      <c r="N4575" s="142"/>
      <c r="P4575" s="156"/>
      <c r="Q4575" s="156"/>
      <c r="R4575" s="158"/>
      <c r="S4575" s="158"/>
      <c r="T4575" s="30"/>
    </row>
    <row r="4576" spans="1:22" s="31" customFormat="1" ht="15" x14ac:dyDescent="0.25">
      <c r="B4576" s="100">
        <v>44635.083333333336</v>
      </c>
      <c r="C4576" s="92" t="s">
        <v>4242</v>
      </c>
      <c r="D4576" s="23"/>
      <c r="E4576" s="23">
        <v>1732803</v>
      </c>
      <c r="F4576" s="93"/>
      <c r="G4576" s="93">
        <f>+E4576</f>
        <v>1732803</v>
      </c>
      <c r="H4576" s="94"/>
      <c r="I4576" s="94"/>
      <c r="J4576" s="94">
        <v>11760.12</v>
      </c>
      <c r="K4576" s="18">
        <f>+G4576-H4576-I4576-J4576</f>
        <v>1721042.88</v>
      </c>
      <c r="L4576" s="19">
        <f>+L4575-G4576</f>
        <v>83669647</v>
      </c>
      <c r="M4576" s="96"/>
      <c r="N4576" s="96"/>
      <c r="O4576" s="149">
        <f>+VLOOKUP(A4575,'[1]ANEXO 7 - PPTO VIG 2022'!$G$9:$AB$201,21,)-L4576</f>
        <v>0</v>
      </c>
      <c r="P4576" s="234">
        <v>57204502</v>
      </c>
      <c r="Q4576" s="235">
        <v>44562</v>
      </c>
      <c r="R4576" s="236">
        <v>1250000</v>
      </c>
      <c r="S4576" s="236">
        <v>1700000</v>
      </c>
      <c r="T4576" s="30"/>
      <c r="U4576" s="146"/>
      <c r="V4576" s="146"/>
    </row>
    <row r="4577" spans="1:22" s="31" customFormat="1" ht="15" hidden="1" x14ac:dyDescent="0.25">
      <c r="B4577" s="215"/>
      <c r="C4577" s="216"/>
      <c r="D4577" s="217"/>
      <c r="E4577" s="217"/>
      <c r="F4577" s="219"/>
      <c r="G4577" s="219"/>
      <c r="H4577" s="218"/>
      <c r="I4577" s="218"/>
      <c r="J4577" s="218"/>
      <c r="K4577" s="41"/>
      <c r="L4577" s="20"/>
      <c r="M4577" s="96"/>
      <c r="N4577" s="96"/>
      <c r="O4577" s="81"/>
      <c r="P4577" s="234"/>
      <c r="Q4577" s="238"/>
      <c r="R4577" s="237"/>
      <c r="S4577" s="237"/>
      <c r="T4577" s="30"/>
      <c r="U4577" s="146"/>
      <c r="V4577" s="146"/>
    </row>
    <row r="4578" spans="1:22" s="31" customFormat="1" ht="15" hidden="1" x14ac:dyDescent="0.25">
      <c r="A4578" s="31">
        <v>4542022</v>
      </c>
      <c r="B4578" s="139" t="s">
        <v>4243</v>
      </c>
      <c r="C4578" s="288"/>
      <c r="D4578" s="289">
        <v>56000000</v>
      </c>
      <c r="E4578" s="289">
        <f>+D4578</f>
        <v>56000000</v>
      </c>
      <c r="F4578" s="289"/>
      <c r="G4578" s="289"/>
      <c r="H4578" s="289"/>
      <c r="I4578" s="289"/>
      <c r="J4578" s="289"/>
      <c r="K4578" s="289"/>
      <c r="L4578" s="141">
        <f>+D4578</f>
        <v>56000000</v>
      </c>
      <c r="M4578" s="142"/>
      <c r="N4578" s="142"/>
      <c r="P4578" s="156"/>
      <c r="Q4578" s="156"/>
      <c r="R4578" s="158"/>
      <c r="S4578" s="158"/>
      <c r="T4578" s="30"/>
    </row>
    <row r="4579" spans="1:22" s="31" customFormat="1" ht="15" x14ac:dyDescent="0.25">
      <c r="B4579" s="100">
        <v>44635.083333333336</v>
      </c>
      <c r="C4579" s="92" t="s">
        <v>4244</v>
      </c>
      <c r="D4579" s="23"/>
      <c r="E4579" s="23">
        <v>6066666</v>
      </c>
      <c r="F4579" s="93"/>
      <c r="G4579" s="93">
        <f>+E4579</f>
        <v>6066666</v>
      </c>
      <c r="H4579" s="94"/>
      <c r="I4579" s="94">
        <v>50709.95</v>
      </c>
      <c r="J4579" s="94">
        <v>44287.56</v>
      </c>
      <c r="K4579" s="18">
        <f>+G4579-H4579-I4579-J4579</f>
        <v>5971668.4900000002</v>
      </c>
      <c r="L4579" s="19">
        <f>+L4578-G4579</f>
        <v>49933334</v>
      </c>
      <c r="M4579" s="96"/>
      <c r="N4579" s="96"/>
      <c r="O4579" s="149">
        <f>+VLOOKUP(A4578,'[1]ANEXO 7 - PPTO VIG 2022'!$G$9:$AB$201,21,)-L4579</f>
        <v>0</v>
      </c>
      <c r="P4579" s="234">
        <v>56773626</v>
      </c>
      <c r="Q4579" s="235">
        <v>44562</v>
      </c>
      <c r="R4579" s="236">
        <v>125000</v>
      </c>
      <c r="S4579" s="236">
        <v>160000</v>
      </c>
      <c r="T4579" s="30"/>
      <c r="U4579" s="146"/>
      <c r="V4579" s="146"/>
    </row>
    <row r="4580" spans="1:22" s="31" customFormat="1" ht="15" hidden="1" x14ac:dyDescent="0.25">
      <c r="B4580" s="215"/>
      <c r="C4580" s="216"/>
      <c r="D4580" s="217"/>
      <c r="E4580" s="217"/>
      <c r="F4580" s="219"/>
      <c r="G4580" s="219"/>
      <c r="H4580" s="218"/>
      <c r="I4580" s="218"/>
      <c r="J4580" s="218"/>
      <c r="K4580" s="41"/>
      <c r="L4580" s="20"/>
      <c r="M4580" s="96"/>
      <c r="N4580" s="96"/>
      <c r="O4580" s="81"/>
      <c r="P4580" s="234"/>
      <c r="Q4580" s="238"/>
      <c r="R4580" s="237"/>
      <c r="S4580" s="237"/>
      <c r="T4580" s="30"/>
      <c r="U4580" s="146"/>
      <c r="V4580" s="146"/>
    </row>
    <row r="4581" spans="1:22" s="31" customFormat="1" ht="15" hidden="1" x14ac:dyDescent="0.25">
      <c r="A4581" s="31">
        <v>4552022</v>
      </c>
      <c r="B4581" s="139" t="s">
        <v>4245</v>
      </c>
      <c r="C4581" s="288"/>
      <c r="D4581" s="289">
        <v>72000000</v>
      </c>
      <c r="E4581" s="289">
        <f>+D4581</f>
        <v>72000000</v>
      </c>
      <c r="F4581" s="289"/>
      <c r="G4581" s="289"/>
      <c r="H4581" s="289"/>
      <c r="I4581" s="289"/>
      <c r="J4581" s="289"/>
      <c r="K4581" s="289"/>
      <c r="L4581" s="141">
        <f>+D4581</f>
        <v>72000000</v>
      </c>
      <c r="M4581" s="142"/>
      <c r="N4581" s="142"/>
      <c r="P4581" s="156"/>
      <c r="Q4581" s="156"/>
      <c r="R4581" s="158"/>
      <c r="S4581" s="158"/>
      <c r="T4581" s="30"/>
    </row>
    <row r="4582" spans="1:22" s="31" customFormat="1" ht="15" x14ac:dyDescent="0.25">
      <c r="B4582" s="100">
        <v>44637.083333333336</v>
      </c>
      <c r="C4582" s="92" t="s">
        <v>4246</v>
      </c>
      <c r="D4582" s="23"/>
      <c r="E4582" s="23">
        <v>1500000</v>
      </c>
      <c r="F4582" s="93"/>
      <c r="G4582" s="93">
        <f>+E4582</f>
        <v>1500000</v>
      </c>
      <c r="H4582" s="94">
        <v>35924.400000000001</v>
      </c>
      <c r="I4582" s="94">
        <v>0</v>
      </c>
      <c r="J4582" s="94">
        <v>8554.74</v>
      </c>
      <c r="K4582" s="18">
        <f>+G4582-H4582-I4582-J4582</f>
        <v>1455520.86</v>
      </c>
      <c r="L4582" s="19">
        <f>+L4581-G4582</f>
        <v>70500000</v>
      </c>
      <c r="M4582" s="96"/>
      <c r="N4582" s="96"/>
      <c r="O4582" s="149">
        <f>+VLOOKUP(A4581,'[1]ANEXO 7 - PPTO VIG 2022'!$G$9:$AB$201,21,)-$L$4583</f>
        <v>0</v>
      </c>
      <c r="P4582" s="234">
        <v>56772411</v>
      </c>
      <c r="Q4582" s="235">
        <v>44562</v>
      </c>
      <c r="R4582" s="236">
        <v>125000</v>
      </c>
      <c r="S4582" s="236">
        <v>160000</v>
      </c>
      <c r="T4582" s="30"/>
      <c r="U4582" s="146"/>
      <c r="V4582" s="146"/>
    </row>
    <row r="4583" spans="1:22" s="31" customFormat="1" ht="15" x14ac:dyDescent="0.25">
      <c r="B4583" s="215">
        <v>44637.083333333336</v>
      </c>
      <c r="C4583" s="92" t="s">
        <v>4247</v>
      </c>
      <c r="D4583" s="23"/>
      <c r="E4583" s="23">
        <v>9000000</v>
      </c>
      <c r="F4583" s="93"/>
      <c r="G4583" s="93">
        <f>+E4583</f>
        <v>9000000</v>
      </c>
      <c r="H4583" s="94">
        <v>215546.25</v>
      </c>
      <c r="I4583" s="94">
        <v>147408.51</v>
      </c>
      <c r="J4583" s="94">
        <v>51328.44</v>
      </c>
      <c r="K4583" s="18">
        <f>+G4583-H4583-I4583-J4583</f>
        <v>8585716.8000000007</v>
      </c>
      <c r="L4583" s="19">
        <f>+L4582-G4583</f>
        <v>61500000</v>
      </c>
      <c r="M4583" s="96"/>
      <c r="N4583" s="96"/>
      <c r="O4583" s="81"/>
      <c r="P4583" s="234">
        <v>57013910</v>
      </c>
      <c r="Q4583" s="235">
        <v>44593</v>
      </c>
      <c r="R4583" s="236">
        <v>790000</v>
      </c>
      <c r="S4583" s="236">
        <v>1074400</v>
      </c>
      <c r="T4583" s="30"/>
      <c r="U4583" s="146"/>
      <c r="V4583" s="146"/>
    </row>
    <row r="4584" spans="1:22" s="31" customFormat="1" ht="15" hidden="1" x14ac:dyDescent="0.25">
      <c r="A4584" s="31">
        <v>4842022</v>
      </c>
      <c r="B4584" s="139" t="s">
        <v>4248</v>
      </c>
      <c r="C4584" s="296"/>
      <c r="D4584" s="297">
        <v>43706333</v>
      </c>
      <c r="E4584" s="297">
        <f>+D4584</f>
        <v>43706333</v>
      </c>
      <c r="F4584" s="297"/>
      <c r="G4584" s="297"/>
      <c r="H4584" s="297"/>
      <c r="I4584" s="297"/>
      <c r="J4584" s="297"/>
      <c r="K4584" s="297"/>
      <c r="L4584" s="141">
        <f>+D4584</f>
        <v>43706333</v>
      </c>
      <c r="M4584" s="142"/>
      <c r="N4584" s="142"/>
      <c r="P4584" s="156"/>
      <c r="Q4584" s="156"/>
      <c r="R4584" s="158"/>
      <c r="S4584" s="158"/>
      <c r="T4584" s="30"/>
    </row>
    <row r="4585" spans="1:22" s="31" customFormat="1" ht="15" x14ac:dyDescent="0.25">
      <c r="B4585" s="100">
        <v>44636.083333333336</v>
      </c>
      <c r="C4585" s="92" t="s">
        <v>4249</v>
      </c>
      <c r="D4585" s="23"/>
      <c r="E4585" s="23">
        <v>130467</v>
      </c>
      <c r="F4585" s="93"/>
      <c r="G4585" s="93">
        <f>+E4585</f>
        <v>130467</v>
      </c>
      <c r="H4585" s="94"/>
      <c r="I4585" s="94"/>
      <c r="J4585" s="94">
        <v>885.45</v>
      </c>
      <c r="K4585" s="18">
        <f>+G4585-H4585-I4585-J4585</f>
        <v>129581.55</v>
      </c>
      <c r="L4585" s="19">
        <f>+L4584-G4585</f>
        <v>43575866</v>
      </c>
      <c r="M4585" s="96"/>
      <c r="N4585" s="96"/>
      <c r="O4585" s="149">
        <f>+VLOOKUP(A4584,'[1]ANEXO 7 - PPTO VIG 2022'!$G$9:$AB$201,21,)-L4586</f>
        <v>0</v>
      </c>
      <c r="P4585" s="234">
        <v>9429442433</v>
      </c>
      <c r="Q4585" s="235">
        <v>44562</v>
      </c>
      <c r="R4585" s="236">
        <v>125000</v>
      </c>
      <c r="S4585" s="236">
        <v>160000</v>
      </c>
      <c r="T4585" s="30"/>
      <c r="U4585" s="146"/>
      <c r="V4585" s="146"/>
    </row>
    <row r="4586" spans="1:22" s="31" customFormat="1" ht="15" x14ac:dyDescent="0.25">
      <c r="B4586" s="215">
        <v>44645.083333333336</v>
      </c>
      <c r="C4586" s="92" t="s">
        <v>4250</v>
      </c>
      <c r="D4586" s="23"/>
      <c r="E4586" s="23">
        <v>3914000</v>
      </c>
      <c r="F4586" s="93"/>
      <c r="G4586" s="93">
        <f>+E4586</f>
        <v>3914000</v>
      </c>
      <c r="H4586" s="94"/>
      <c r="I4586" s="94"/>
      <c r="J4586" s="94">
        <v>26563.38</v>
      </c>
      <c r="K4586" s="18">
        <f>+G4586-H4586-I4586-J4586</f>
        <v>3887436.62</v>
      </c>
      <c r="L4586" s="19">
        <f>+L4585-G4586</f>
        <v>39661866</v>
      </c>
      <c r="M4586" s="96"/>
      <c r="N4586" s="96"/>
      <c r="O4586" s="81"/>
      <c r="P4586" s="234">
        <v>9431976562</v>
      </c>
      <c r="Q4586" s="235">
        <v>44593</v>
      </c>
      <c r="R4586" s="236">
        <v>195700</v>
      </c>
      <c r="S4586" s="236">
        <v>250500</v>
      </c>
      <c r="T4586" s="30"/>
      <c r="U4586" s="146"/>
      <c r="V4586" s="146"/>
    </row>
    <row r="4587" spans="1:22" s="31" customFormat="1" ht="15" hidden="1" x14ac:dyDescent="0.25">
      <c r="A4587" s="31">
        <v>5282022</v>
      </c>
      <c r="B4587" s="139" t="s">
        <v>4251</v>
      </c>
      <c r="C4587" s="296"/>
      <c r="D4587" s="297">
        <v>38616760</v>
      </c>
      <c r="E4587" s="297">
        <f>+D4587</f>
        <v>38616760</v>
      </c>
      <c r="F4587" s="297"/>
      <c r="G4587" s="297"/>
      <c r="H4587" s="297"/>
      <c r="I4587" s="297"/>
      <c r="J4587" s="297"/>
      <c r="K4587" s="297"/>
      <c r="L4587" s="141">
        <f>+D4587</f>
        <v>38616760</v>
      </c>
      <c r="M4587" s="142"/>
      <c r="N4587" s="142"/>
      <c r="P4587" s="156"/>
      <c r="Q4587" s="156"/>
      <c r="R4587" s="158"/>
      <c r="S4587" s="158"/>
      <c r="T4587" s="30"/>
    </row>
    <row r="4588" spans="1:22" s="31" customFormat="1" ht="15" x14ac:dyDescent="0.25">
      <c r="B4588" s="100">
        <v>44635.083333333336</v>
      </c>
      <c r="C4588" s="92" t="s">
        <v>4252</v>
      </c>
      <c r="D4588" s="23"/>
      <c r="E4588" s="23">
        <v>5516680</v>
      </c>
      <c r="F4588" s="93"/>
      <c r="G4588" s="93">
        <f>+E4588</f>
        <v>5516680</v>
      </c>
      <c r="H4588" s="94"/>
      <c r="I4588" s="94">
        <v>8883.24</v>
      </c>
      <c r="J4588" s="94">
        <v>37440.379999999997</v>
      </c>
      <c r="K4588" s="18">
        <f>+G4588-H4588-I4588-J4588</f>
        <v>5470356.3799999999</v>
      </c>
      <c r="L4588" s="19">
        <f>+L4587-G4588</f>
        <v>33100080</v>
      </c>
      <c r="M4588" s="96"/>
      <c r="N4588" s="96"/>
      <c r="O4588" s="149">
        <f>+VLOOKUP(A4587,'[1]ANEXO 7 - PPTO VIG 2022'!$G$9:$AB$201,21,)-L4588</f>
        <v>0</v>
      </c>
      <c r="P4588" s="234">
        <v>7827518192</v>
      </c>
      <c r="Q4588" s="235">
        <v>44593</v>
      </c>
      <c r="R4588" s="236">
        <v>275900</v>
      </c>
      <c r="S4588" s="236">
        <v>353100</v>
      </c>
      <c r="T4588" s="30"/>
      <c r="U4588" s="146"/>
      <c r="V4588" s="146"/>
    </row>
    <row r="4589" spans="1:22" s="31" customFormat="1" ht="15" hidden="1" x14ac:dyDescent="0.25">
      <c r="B4589" s="215"/>
      <c r="C4589" s="216"/>
      <c r="D4589" s="217"/>
      <c r="E4589" s="217"/>
      <c r="F4589" s="219"/>
      <c r="G4589" s="219"/>
      <c r="H4589" s="218"/>
      <c r="I4589" s="218"/>
      <c r="J4589" s="218"/>
      <c r="K4589" s="41"/>
      <c r="L4589" s="20"/>
      <c r="M4589" s="96"/>
      <c r="N4589" s="96"/>
      <c r="O4589" s="81"/>
      <c r="P4589" s="234"/>
      <c r="Q4589" s="238"/>
      <c r="R4589" s="237"/>
      <c r="S4589" s="237"/>
      <c r="T4589" s="30"/>
      <c r="U4589" s="146"/>
      <c r="V4589" s="146"/>
    </row>
    <row r="4590" spans="1:22" s="31" customFormat="1" ht="15" hidden="1" x14ac:dyDescent="0.25">
      <c r="A4590" s="31">
        <v>3522022</v>
      </c>
      <c r="B4590" s="139" t="s">
        <v>4253</v>
      </c>
      <c r="C4590" s="288"/>
      <c r="D4590" s="289">
        <v>46679600</v>
      </c>
      <c r="E4590" s="289">
        <f>+D4590</f>
        <v>46679600</v>
      </c>
      <c r="F4590" s="289"/>
      <c r="G4590" s="289"/>
      <c r="H4590" s="289"/>
      <c r="I4590" s="289"/>
      <c r="J4590" s="289"/>
      <c r="K4590" s="289"/>
      <c r="L4590" s="141">
        <f>+D4590</f>
        <v>46679600</v>
      </c>
      <c r="M4590" s="142"/>
      <c r="N4590" s="142"/>
      <c r="P4590" s="156"/>
      <c r="Q4590" s="156"/>
      <c r="R4590" s="158"/>
      <c r="S4590" s="158"/>
      <c r="T4590" s="30"/>
    </row>
    <row r="4591" spans="1:22" s="31" customFormat="1" ht="15" x14ac:dyDescent="0.25">
      <c r="B4591" s="100">
        <v>44636.083333333336</v>
      </c>
      <c r="C4591" s="92" t="s">
        <v>4254</v>
      </c>
      <c r="D4591" s="23"/>
      <c r="E4591" s="23">
        <v>2139481</v>
      </c>
      <c r="F4591" s="93"/>
      <c r="G4591" s="93">
        <f>+E4591</f>
        <v>2139481</v>
      </c>
      <c r="H4591" s="94"/>
      <c r="I4591" s="94"/>
      <c r="J4591" s="94">
        <v>14520.14</v>
      </c>
      <c r="K4591" s="18">
        <f>+G4591-H4591-I4591-J4591</f>
        <v>2124960.86</v>
      </c>
      <c r="L4591" s="19">
        <f>+L4590-G4591</f>
        <v>44540119</v>
      </c>
      <c r="M4591" s="96"/>
      <c r="N4591" s="96"/>
      <c r="O4591" s="149">
        <f>+VLOOKUP(A4590,'[1]ANEXO 7 - PPTO VIG 2022'!$G$9:$AB$201,21,)-L4592</f>
        <v>0</v>
      </c>
      <c r="P4591" s="234">
        <v>56793209</v>
      </c>
      <c r="Q4591" s="235">
        <v>44562</v>
      </c>
      <c r="R4591" s="236">
        <v>125000</v>
      </c>
      <c r="S4591" s="236">
        <v>160000</v>
      </c>
      <c r="T4591" s="30"/>
      <c r="U4591" s="146"/>
      <c r="V4591" s="146"/>
    </row>
    <row r="4592" spans="1:22" s="31" customFormat="1" ht="15" x14ac:dyDescent="0.25">
      <c r="B4592" s="215">
        <v>44644.083333333336</v>
      </c>
      <c r="C4592" s="92" t="s">
        <v>4255</v>
      </c>
      <c r="D4592" s="23"/>
      <c r="E4592" s="23">
        <v>5834950</v>
      </c>
      <c r="F4592" s="93"/>
      <c r="G4592" s="93">
        <f>+E4592</f>
        <v>5834950</v>
      </c>
      <c r="H4592" s="94"/>
      <c r="I4592" s="94">
        <v>48980.92</v>
      </c>
      <c r="J4592" s="94">
        <v>39600.410000000003</v>
      </c>
      <c r="K4592" s="18">
        <f>+G4592-H4592-I4592-J4592</f>
        <v>5746368.6699999999</v>
      </c>
      <c r="L4592" s="19">
        <f>+L4591-G4592</f>
        <v>38705169</v>
      </c>
      <c r="M4592" s="96"/>
      <c r="N4592" s="96"/>
      <c r="O4592" s="81"/>
      <c r="P4592" s="234">
        <v>56979511</v>
      </c>
      <c r="Q4592" s="235">
        <v>44593</v>
      </c>
      <c r="R4592" s="236">
        <v>291800</v>
      </c>
      <c r="S4592" s="236">
        <v>373500</v>
      </c>
      <c r="T4592" s="30"/>
      <c r="U4592" s="146"/>
      <c r="V4592" s="146"/>
    </row>
    <row r="4593" spans="1:22" s="31" customFormat="1" ht="15" hidden="1" x14ac:dyDescent="0.25">
      <c r="A4593" s="31">
        <v>3642022</v>
      </c>
      <c r="B4593" s="139" t="s">
        <v>4256</v>
      </c>
      <c r="C4593" s="296"/>
      <c r="D4593" s="297">
        <v>64962100</v>
      </c>
      <c r="E4593" s="297">
        <f>+D4593</f>
        <v>64962100</v>
      </c>
      <c r="F4593" s="297"/>
      <c r="G4593" s="297"/>
      <c r="H4593" s="297"/>
      <c r="I4593" s="297"/>
      <c r="J4593" s="297"/>
      <c r="K4593" s="297"/>
      <c r="L4593" s="141">
        <f>+D4593</f>
        <v>64962100</v>
      </c>
      <c r="M4593" s="142"/>
      <c r="N4593" s="142"/>
      <c r="P4593" s="156"/>
      <c r="Q4593" s="156"/>
      <c r="R4593" s="158"/>
      <c r="S4593" s="158"/>
      <c r="T4593" s="30"/>
    </row>
    <row r="4594" spans="1:22" s="31" customFormat="1" ht="15" x14ac:dyDescent="0.25">
      <c r="B4594" s="100">
        <v>44635.083333333336</v>
      </c>
      <c r="C4594" s="92" t="s">
        <v>4257</v>
      </c>
      <c r="D4594" s="23"/>
      <c r="E4594" s="23">
        <v>1455733</v>
      </c>
      <c r="F4594" s="93"/>
      <c r="G4594" s="93">
        <f>+E4594</f>
        <v>1455733</v>
      </c>
      <c r="H4594" s="94"/>
      <c r="I4594" s="94"/>
      <c r="J4594" s="94">
        <v>9879.7099999999991</v>
      </c>
      <c r="K4594" s="18">
        <f>+G4594-H4594-I4594-J4594</f>
        <v>1445853.29</v>
      </c>
      <c r="L4594" s="19">
        <f>+L4593-G4594</f>
        <v>63506367</v>
      </c>
      <c r="M4594" s="96"/>
      <c r="N4594" s="96"/>
      <c r="O4594" s="149">
        <f>+VLOOKUP(A4593,'[1]ANEXO 7 - PPTO VIG 2022'!$G$9:$AB$201,21,)-L4595</f>
        <v>0</v>
      </c>
      <c r="P4594" s="234">
        <v>9429972467</v>
      </c>
      <c r="Q4594" s="235">
        <v>44562</v>
      </c>
      <c r="R4594" s="236">
        <v>100100</v>
      </c>
      <c r="S4594" s="236">
        <v>128200</v>
      </c>
      <c r="T4594" s="30"/>
      <c r="U4594" s="146"/>
      <c r="V4594" s="146"/>
    </row>
    <row r="4595" spans="1:22" s="31" customFormat="1" ht="15" x14ac:dyDescent="0.25">
      <c r="B4595" s="215">
        <v>44645.083333333336</v>
      </c>
      <c r="C4595" s="92" t="s">
        <v>4258</v>
      </c>
      <c r="D4595" s="23"/>
      <c r="E4595" s="23">
        <v>5459000</v>
      </c>
      <c r="F4595" s="93"/>
      <c r="G4595" s="93">
        <f>+E4595</f>
        <v>5459000</v>
      </c>
      <c r="H4595" s="94"/>
      <c r="I4595" s="94"/>
      <c r="J4595" s="94">
        <v>37048.92</v>
      </c>
      <c r="K4595" s="18">
        <f>+G4595-H4595-I4595-J4595</f>
        <v>5421951.0800000001</v>
      </c>
      <c r="L4595" s="19">
        <f>+L4594-G4595</f>
        <v>58047367</v>
      </c>
      <c r="M4595" s="96"/>
      <c r="N4595" s="96"/>
      <c r="O4595" s="81"/>
      <c r="P4595" s="234">
        <v>9431611476</v>
      </c>
      <c r="Q4595" s="235">
        <v>44593</v>
      </c>
      <c r="R4595" s="236">
        <v>273000</v>
      </c>
      <c r="S4595" s="236">
        <v>349400</v>
      </c>
      <c r="T4595" s="30"/>
      <c r="U4595" s="146"/>
      <c r="V4595" s="146"/>
    </row>
    <row r="4596" spans="1:22" s="31" customFormat="1" ht="15" hidden="1" x14ac:dyDescent="0.25">
      <c r="A4596" s="31">
        <v>3682022</v>
      </c>
      <c r="B4596" s="139" t="s">
        <v>4259</v>
      </c>
      <c r="C4596" s="296"/>
      <c r="D4596" s="297">
        <v>74160000</v>
      </c>
      <c r="E4596" s="297">
        <f>+D4596</f>
        <v>74160000</v>
      </c>
      <c r="F4596" s="297"/>
      <c r="G4596" s="297"/>
      <c r="H4596" s="297"/>
      <c r="I4596" s="297"/>
      <c r="J4596" s="297"/>
      <c r="K4596" s="297"/>
      <c r="L4596" s="141">
        <f>+D4596</f>
        <v>74160000</v>
      </c>
      <c r="M4596" s="142"/>
      <c r="N4596" s="142"/>
      <c r="P4596" s="156"/>
      <c r="Q4596" s="156"/>
      <c r="R4596" s="158"/>
      <c r="S4596" s="158"/>
      <c r="T4596" s="30"/>
    </row>
    <row r="4597" spans="1:22" s="31" customFormat="1" ht="15" x14ac:dyDescent="0.25">
      <c r="B4597" s="100">
        <v>44635.083333333336</v>
      </c>
      <c r="C4597" s="92" t="s">
        <v>4260</v>
      </c>
      <c r="D4597" s="23"/>
      <c r="E4597" s="23">
        <v>2163000</v>
      </c>
      <c r="F4597" s="93"/>
      <c r="G4597" s="93">
        <f>+E4597</f>
        <v>2163000</v>
      </c>
      <c r="H4597" s="94"/>
      <c r="I4597" s="94"/>
      <c r="J4597" s="94">
        <v>14679.76</v>
      </c>
      <c r="K4597" s="18">
        <f>+G4597-H4597-I4597-J4597</f>
        <v>2148320.2400000002</v>
      </c>
      <c r="L4597" s="19">
        <f>+L4596-G4597</f>
        <v>71997000</v>
      </c>
      <c r="M4597" s="96"/>
      <c r="N4597" s="96"/>
      <c r="O4597" s="149">
        <f>+VLOOKUP(A4596,'[1]ANEXO 7 - PPTO VIG 2022'!$G$9:$AB$201,21,)-L4598</f>
        <v>0</v>
      </c>
      <c r="P4597" s="234">
        <v>56351575</v>
      </c>
      <c r="Q4597" s="235">
        <v>44562</v>
      </c>
      <c r="R4597" s="236">
        <v>182000</v>
      </c>
      <c r="S4597" s="236">
        <v>233000</v>
      </c>
      <c r="T4597" s="30"/>
      <c r="U4597" s="146"/>
      <c r="V4597" s="146"/>
    </row>
    <row r="4598" spans="1:22" s="31" customFormat="1" ht="15" x14ac:dyDescent="0.25">
      <c r="B4598" s="215">
        <v>44645.083333333336</v>
      </c>
      <c r="C4598" s="92" t="s">
        <v>4261</v>
      </c>
      <c r="D4598" s="23"/>
      <c r="E4598" s="23">
        <v>9270000</v>
      </c>
      <c r="F4598" s="93"/>
      <c r="G4598" s="93">
        <f>+E4598</f>
        <v>9270000</v>
      </c>
      <c r="H4598" s="94"/>
      <c r="I4598" s="94">
        <v>489664.21</v>
      </c>
      <c r="J4598" s="94">
        <v>62913.27</v>
      </c>
      <c r="K4598" s="18">
        <f>+G4598-H4598-I4598-J4598</f>
        <v>8717422.5199999996</v>
      </c>
      <c r="L4598" s="19">
        <f>+L4597-G4598</f>
        <v>62727000</v>
      </c>
      <c r="M4598" s="96"/>
      <c r="N4598" s="96"/>
      <c r="O4598" s="81"/>
      <c r="P4598" s="234">
        <v>56977768</v>
      </c>
      <c r="Q4598" s="235">
        <v>44593</v>
      </c>
      <c r="R4598" s="236">
        <v>463500</v>
      </c>
      <c r="S4598" s="236">
        <v>593300</v>
      </c>
      <c r="T4598" s="30"/>
      <c r="U4598" s="146"/>
      <c r="V4598" s="146"/>
    </row>
    <row r="4599" spans="1:22" s="31" customFormat="1" ht="15" hidden="1" x14ac:dyDescent="0.25">
      <c r="A4599" s="31">
        <v>4472022</v>
      </c>
      <c r="B4599" s="139" t="s">
        <v>4262</v>
      </c>
      <c r="C4599" s="296"/>
      <c r="D4599" s="297">
        <v>74364846</v>
      </c>
      <c r="E4599" s="297">
        <f>+D4599</f>
        <v>74364846</v>
      </c>
      <c r="F4599" s="297"/>
      <c r="G4599" s="297"/>
      <c r="H4599" s="297"/>
      <c r="I4599" s="297"/>
      <c r="J4599" s="297"/>
      <c r="K4599" s="297"/>
      <c r="L4599" s="141">
        <f>+D4599</f>
        <v>74364846</v>
      </c>
      <c r="M4599" s="142"/>
      <c r="N4599" s="142"/>
      <c r="P4599" s="156"/>
      <c r="Q4599" s="156"/>
      <c r="R4599" s="158"/>
      <c r="S4599" s="158"/>
      <c r="T4599" s="30"/>
    </row>
    <row r="4600" spans="1:22" s="31" customFormat="1" ht="15" x14ac:dyDescent="0.25">
      <c r="B4600" s="100">
        <v>44636.083333333336</v>
      </c>
      <c r="C4600" s="92" t="s">
        <v>4263</v>
      </c>
      <c r="D4600" s="23"/>
      <c r="E4600" s="23">
        <v>5516680</v>
      </c>
      <c r="F4600" s="93"/>
      <c r="G4600" s="93">
        <f>+E4600</f>
        <v>5516680</v>
      </c>
      <c r="H4600" s="94"/>
      <c r="I4600" s="94"/>
      <c r="J4600" s="94">
        <v>37440.379999999997</v>
      </c>
      <c r="K4600" s="18">
        <f>+G4600-H4600-I4600-J4600</f>
        <v>5479239.6200000001</v>
      </c>
      <c r="L4600" s="19">
        <f>+L4599-G4600</f>
        <v>68848166</v>
      </c>
      <c r="M4600" s="96"/>
      <c r="N4600" s="96"/>
      <c r="O4600" s="149">
        <f>+VLOOKUP(A4599,'[1]ANEXO 7 - PPTO VIG 2022'!$G$9:$AB$201,21,)-L4600</f>
        <v>0</v>
      </c>
      <c r="P4600" s="234">
        <v>22662031</v>
      </c>
      <c r="Q4600" s="235">
        <v>44562</v>
      </c>
      <c r="R4600" s="236">
        <v>331100</v>
      </c>
      <c r="S4600" s="236">
        <v>423700</v>
      </c>
      <c r="T4600" s="30"/>
      <c r="U4600" s="146"/>
      <c r="V4600" s="146"/>
    </row>
    <row r="4601" spans="1:22" s="31" customFormat="1" ht="15" hidden="1" x14ac:dyDescent="0.25">
      <c r="B4601" s="215"/>
      <c r="C4601" s="216"/>
      <c r="D4601" s="217"/>
      <c r="E4601" s="217"/>
      <c r="F4601" s="219"/>
      <c r="G4601" s="219"/>
      <c r="H4601" s="218"/>
      <c r="I4601" s="218"/>
      <c r="J4601" s="218"/>
      <c r="K4601" s="41"/>
      <c r="L4601" s="20"/>
      <c r="M4601" s="96"/>
      <c r="N4601" s="96"/>
      <c r="O4601" s="81"/>
      <c r="P4601" s="234"/>
      <c r="Q4601" s="238"/>
      <c r="R4601" s="237"/>
      <c r="S4601" s="237"/>
      <c r="T4601" s="30"/>
      <c r="U4601" s="146"/>
      <c r="V4601" s="146"/>
    </row>
    <row r="4602" spans="1:22" s="31" customFormat="1" ht="15" hidden="1" x14ac:dyDescent="0.25">
      <c r="A4602" s="31">
        <v>4702022</v>
      </c>
      <c r="B4602" s="139" t="s">
        <v>4264</v>
      </c>
      <c r="C4602" s="288"/>
      <c r="D4602" s="289">
        <v>46679600</v>
      </c>
      <c r="E4602" s="289">
        <f>+D4602</f>
        <v>46679600</v>
      </c>
      <c r="F4602" s="289"/>
      <c r="G4602" s="289"/>
      <c r="H4602" s="289"/>
      <c r="I4602" s="289"/>
      <c r="J4602" s="289"/>
      <c r="K4602" s="289"/>
      <c r="L4602" s="141">
        <f>+D4602</f>
        <v>46679600</v>
      </c>
      <c r="M4602" s="142"/>
      <c r="N4602" s="142"/>
      <c r="P4602" s="156"/>
      <c r="Q4602" s="156"/>
      <c r="R4602" s="158"/>
      <c r="S4602" s="158"/>
      <c r="T4602" s="30"/>
    </row>
    <row r="4603" spans="1:22" s="31" customFormat="1" ht="15" x14ac:dyDescent="0.25">
      <c r="B4603" s="100">
        <v>44636.083333333336</v>
      </c>
      <c r="C4603" s="92" t="s">
        <v>4265</v>
      </c>
      <c r="D4603" s="23"/>
      <c r="E4603" s="23">
        <v>4243600</v>
      </c>
      <c r="F4603" s="93"/>
      <c r="G4603" s="93">
        <f>+E4603</f>
        <v>4243600</v>
      </c>
      <c r="H4603" s="94"/>
      <c r="I4603" s="94"/>
      <c r="J4603" s="94">
        <v>28800.29</v>
      </c>
      <c r="K4603" s="18">
        <f>+G4603-H4603-I4603-J4603</f>
        <v>4214799.71</v>
      </c>
      <c r="L4603" s="19">
        <f>+L4602-G4603</f>
        <v>42436000</v>
      </c>
      <c r="M4603" s="96"/>
      <c r="N4603" s="96"/>
      <c r="O4603" s="149">
        <f>+VLOOKUP(A4602,'[1]ANEXO 7 - PPTO VIG 2022'!$G$9:$AB$201,21,)-L4603</f>
        <v>0</v>
      </c>
      <c r="P4603" s="234">
        <v>9429994491</v>
      </c>
      <c r="Q4603" s="235">
        <v>44562</v>
      </c>
      <c r="R4603" s="236">
        <v>125000</v>
      </c>
      <c r="S4603" s="236">
        <v>160000</v>
      </c>
      <c r="T4603" s="30"/>
      <c r="U4603" s="146"/>
      <c r="V4603" s="146"/>
    </row>
    <row r="4604" spans="1:22" s="31" customFormat="1" ht="15" hidden="1" x14ac:dyDescent="0.25">
      <c r="B4604" s="215"/>
      <c r="C4604" s="216"/>
      <c r="D4604" s="217"/>
      <c r="E4604" s="217"/>
      <c r="F4604" s="219"/>
      <c r="G4604" s="219"/>
      <c r="H4604" s="218"/>
      <c r="I4604" s="218"/>
      <c r="J4604" s="218"/>
      <c r="K4604" s="41"/>
      <c r="L4604" s="20"/>
      <c r="M4604" s="96"/>
      <c r="N4604" s="96"/>
      <c r="O4604" s="81"/>
      <c r="P4604" s="234">
        <v>9431300415</v>
      </c>
      <c r="Q4604" s="235">
        <v>44593</v>
      </c>
      <c r="R4604" s="237">
        <v>212200</v>
      </c>
      <c r="S4604" s="237">
        <v>271600</v>
      </c>
      <c r="T4604" s="30"/>
      <c r="U4604" s="146"/>
      <c r="V4604" s="146"/>
    </row>
    <row r="4605" spans="1:22" s="31" customFormat="1" ht="15" hidden="1" x14ac:dyDescent="0.25">
      <c r="B4605" s="215"/>
      <c r="C4605" s="216"/>
      <c r="D4605" s="217"/>
      <c r="E4605" s="217"/>
      <c r="F4605" s="219"/>
      <c r="G4605" s="219"/>
      <c r="H4605" s="218"/>
      <c r="I4605" s="218"/>
      <c r="J4605" s="218"/>
      <c r="K4605" s="41"/>
      <c r="L4605" s="20"/>
      <c r="M4605" s="96"/>
      <c r="N4605" s="96"/>
      <c r="O4605" s="81"/>
      <c r="P4605" s="234"/>
      <c r="Q4605" s="238"/>
      <c r="R4605" s="237"/>
      <c r="S4605" s="237"/>
      <c r="T4605" s="30"/>
      <c r="U4605" s="146"/>
      <c r="V4605" s="146"/>
    </row>
    <row r="4606" spans="1:22" s="31" customFormat="1" ht="15" hidden="1" x14ac:dyDescent="0.25">
      <c r="A4606" s="31">
        <v>4922022</v>
      </c>
      <c r="B4606" s="139" t="s">
        <v>4266</v>
      </c>
      <c r="C4606" s="288"/>
      <c r="D4606" s="289">
        <v>32800000</v>
      </c>
      <c r="E4606" s="289">
        <f>+D4606</f>
        <v>32800000</v>
      </c>
      <c r="F4606" s="289"/>
      <c r="G4606" s="289"/>
      <c r="H4606" s="289"/>
      <c r="I4606" s="289"/>
      <c r="J4606" s="289"/>
      <c r="K4606" s="289"/>
      <c r="L4606" s="141">
        <f>+D4606</f>
        <v>32800000</v>
      </c>
      <c r="M4606" s="142"/>
      <c r="N4606" s="142"/>
      <c r="P4606" s="156"/>
      <c r="Q4606" s="156"/>
      <c r="R4606" s="158"/>
      <c r="S4606" s="158"/>
      <c r="T4606" s="30"/>
    </row>
    <row r="4607" spans="1:22" s="31" customFormat="1" ht="15" x14ac:dyDescent="0.25">
      <c r="B4607" s="100">
        <v>44636.083333333336</v>
      </c>
      <c r="C4607" s="92" t="s">
        <v>4267</v>
      </c>
      <c r="D4607" s="23"/>
      <c r="E4607" s="23">
        <v>136666</v>
      </c>
      <c r="F4607" s="93"/>
      <c r="G4607" s="93">
        <f>+E4607</f>
        <v>136666</v>
      </c>
      <c r="H4607" s="94"/>
      <c r="I4607" s="94"/>
      <c r="J4607" s="94">
        <v>926.6</v>
      </c>
      <c r="K4607" s="18">
        <f>+G4607-H4607-I4607-J4607</f>
        <v>135739.4</v>
      </c>
      <c r="L4607" s="19">
        <f>+L4606-G4607</f>
        <v>32663334</v>
      </c>
      <c r="M4607" s="96"/>
      <c r="N4607" s="96"/>
      <c r="O4607" s="149">
        <f>+VLOOKUP(A4606,'[1]ANEXO 7 - PPTO VIG 2022'!$G$9:$AB$201,21,)-L4607</f>
        <v>0</v>
      </c>
      <c r="P4607" s="234">
        <v>9431110898</v>
      </c>
      <c r="Q4607" s="235">
        <v>44562</v>
      </c>
      <c r="R4607" s="236">
        <v>6900</v>
      </c>
      <c r="S4607" s="236">
        <v>8800</v>
      </c>
      <c r="T4607" s="30"/>
      <c r="U4607" s="146"/>
      <c r="V4607" s="146"/>
    </row>
    <row r="4608" spans="1:22" s="31" customFormat="1" ht="15" hidden="1" x14ac:dyDescent="0.25">
      <c r="B4608" s="215"/>
      <c r="C4608" s="216"/>
      <c r="D4608" s="217"/>
      <c r="E4608" s="217"/>
      <c r="F4608" s="219"/>
      <c r="G4608" s="219"/>
      <c r="H4608" s="218"/>
      <c r="I4608" s="218"/>
      <c r="J4608" s="218"/>
      <c r="K4608" s="41"/>
      <c r="L4608" s="20"/>
      <c r="M4608" s="96"/>
      <c r="N4608" s="96"/>
      <c r="O4608" s="81"/>
      <c r="P4608" s="234"/>
      <c r="Q4608" s="238"/>
      <c r="R4608" s="237"/>
      <c r="S4608" s="237"/>
      <c r="T4608" s="30"/>
      <c r="U4608" s="146"/>
      <c r="V4608" s="146"/>
    </row>
    <row r="4609" spans="1:22" s="31" customFormat="1" ht="15" hidden="1" x14ac:dyDescent="0.25">
      <c r="A4609" s="31">
        <v>5022022</v>
      </c>
      <c r="B4609" s="139" t="s">
        <v>4268</v>
      </c>
      <c r="C4609" s="288"/>
      <c r="D4609" s="289">
        <v>39720096</v>
      </c>
      <c r="E4609" s="289">
        <f>+D4609</f>
        <v>39720096</v>
      </c>
      <c r="F4609" s="289"/>
      <c r="G4609" s="289"/>
      <c r="H4609" s="289"/>
      <c r="I4609" s="289"/>
      <c r="J4609" s="289"/>
      <c r="K4609" s="289"/>
      <c r="L4609" s="141">
        <f>+D4609</f>
        <v>39720096</v>
      </c>
      <c r="M4609" s="142"/>
      <c r="N4609" s="142"/>
      <c r="P4609" s="156"/>
      <c r="Q4609" s="156"/>
      <c r="R4609" s="158"/>
      <c r="S4609" s="158"/>
      <c r="T4609" s="30"/>
    </row>
    <row r="4610" spans="1:22" s="31" customFormat="1" ht="15" x14ac:dyDescent="0.25">
      <c r="B4610" s="100">
        <v>44637.083333333336</v>
      </c>
      <c r="C4610" s="92" t="s">
        <v>4269</v>
      </c>
      <c r="D4610" s="23"/>
      <c r="E4610" s="23">
        <v>6620016</v>
      </c>
      <c r="F4610" s="93"/>
      <c r="G4610" s="93">
        <f>+E4610</f>
        <v>6620016</v>
      </c>
      <c r="H4610" s="94"/>
      <c r="I4610" s="94">
        <v>208217.57</v>
      </c>
      <c r="J4610" s="94">
        <v>48173.1</v>
      </c>
      <c r="K4610" s="18">
        <f>+G4610-H4610-I4610-J4610</f>
        <v>6363625.3300000001</v>
      </c>
      <c r="L4610" s="19">
        <f>+L4609-G4610</f>
        <v>33100080</v>
      </c>
      <c r="M4610" s="96"/>
      <c r="N4610" s="96"/>
      <c r="O4610" s="149">
        <f>+VLOOKUP(A4609,'[1]ANEXO 7 - PPTO VIG 2022'!$G$9:$AB$201,21,)-L4610</f>
        <v>0</v>
      </c>
      <c r="P4610" s="234">
        <v>7827240951</v>
      </c>
      <c r="Q4610" s="235">
        <v>44562</v>
      </c>
      <c r="R4610" s="236">
        <v>331100</v>
      </c>
      <c r="S4610" s="236">
        <v>0</v>
      </c>
      <c r="T4610" s="30"/>
      <c r="U4610" s="146"/>
      <c r="V4610" s="146"/>
    </row>
    <row r="4611" spans="1:22" s="31" customFormat="1" ht="15" hidden="1" x14ac:dyDescent="0.25">
      <c r="B4611" s="215"/>
      <c r="C4611" s="216"/>
      <c r="D4611" s="217"/>
      <c r="E4611" s="217"/>
      <c r="F4611" s="219"/>
      <c r="G4611" s="219"/>
      <c r="H4611" s="218"/>
      <c r="I4611" s="218"/>
      <c r="J4611" s="218"/>
      <c r="K4611" s="41"/>
      <c r="L4611" s="20"/>
      <c r="M4611" s="96"/>
      <c r="N4611" s="96"/>
      <c r="O4611" s="81"/>
      <c r="P4611" s="234"/>
      <c r="Q4611" s="238"/>
      <c r="R4611" s="237"/>
      <c r="S4611" s="237"/>
      <c r="T4611" s="30"/>
      <c r="U4611" s="146"/>
      <c r="V4611" s="146"/>
    </row>
    <row r="4612" spans="1:22" s="31" customFormat="1" ht="15" hidden="1" x14ac:dyDescent="0.25">
      <c r="A4612" s="31">
        <v>5082022</v>
      </c>
      <c r="B4612" s="139" t="s">
        <v>4270</v>
      </c>
      <c r="C4612" s="288"/>
      <c r="D4612" s="289">
        <v>56000000</v>
      </c>
      <c r="E4612" s="289">
        <f>+D4612</f>
        <v>56000000</v>
      </c>
      <c r="F4612" s="289"/>
      <c r="G4612" s="289"/>
      <c r="H4612" s="289"/>
      <c r="I4612" s="289"/>
      <c r="J4612" s="289"/>
      <c r="K4612" s="289"/>
      <c r="L4612" s="141">
        <f>+D4612</f>
        <v>56000000</v>
      </c>
      <c r="M4612" s="142"/>
      <c r="N4612" s="142"/>
      <c r="P4612" s="156"/>
      <c r="Q4612" s="156"/>
      <c r="R4612" s="158"/>
      <c r="S4612" s="158"/>
      <c r="T4612" s="30"/>
    </row>
    <row r="4613" spans="1:22" s="31" customFormat="1" ht="15" x14ac:dyDescent="0.25">
      <c r="B4613" s="100">
        <v>44638.083333333336</v>
      </c>
      <c r="C4613" s="92" t="s">
        <v>4271</v>
      </c>
      <c r="D4613" s="23"/>
      <c r="E4613" s="23">
        <v>233333</v>
      </c>
      <c r="F4613" s="93"/>
      <c r="G4613" s="93">
        <f>+E4613</f>
        <v>233333</v>
      </c>
      <c r="H4613" s="94"/>
      <c r="I4613" s="94"/>
      <c r="J4613" s="94">
        <v>1583.58</v>
      </c>
      <c r="K4613" s="18">
        <f>+G4613-H4613-I4613-J4613</f>
        <v>231749.42</v>
      </c>
      <c r="L4613" s="19">
        <f>+L4612-G4613</f>
        <v>55766667</v>
      </c>
      <c r="M4613" s="96"/>
      <c r="N4613" s="96"/>
      <c r="O4613" s="149">
        <f>+VLOOKUP(A4612,'[1]ANEXO 7 - PPTO VIG 2022'!$G$9:$AB$201,21,)-L4614</f>
        <v>0</v>
      </c>
      <c r="P4613" s="234">
        <v>22396939</v>
      </c>
      <c r="Q4613" s="235">
        <v>44562</v>
      </c>
      <c r="R4613" s="236">
        <v>125000</v>
      </c>
      <c r="S4613" s="236">
        <v>160000</v>
      </c>
      <c r="T4613" s="30"/>
      <c r="U4613" s="146"/>
      <c r="V4613" s="146"/>
    </row>
    <row r="4614" spans="1:22" s="31" customFormat="1" ht="15" x14ac:dyDescent="0.25">
      <c r="B4614" s="215">
        <v>44645.083333333336</v>
      </c>
      <c r="C4614" s="92" t="s">
        <v>4272</v>
      </c>
      <c r="D4614" s="23"/>
      <c r="E4614" s="23">
        <v>7000000</v>
      </c>
      <c r="F4614" s="93"/>
      <c r="G4614" s="93">
        <f>+E4614</f>
        <v>7000000</v>
      </c>
      <c r="H4614" s="94"/>
      <c r="I4614" s="94">
        <v>194164.79</v>
      </c>
      <c r="J4614" s="94">
        <v>47507.32</v>
      </c>
      <c r="K4614" s="18">
        <f>+G4614-H4614-I4614-J4614</f>
        <v>6758327.8899999997</v>
      </c>
      <c r="L4614" s="19">
        <f>+L4613-G4614</f>
        <v>48766667</v>
      </c>
      <c r="M4614" s="96"/>
      <c r="N4614" s="96"/>
      <c r="O4614" s="81"/>
      <c r="P4614" s="234">
        <v>22718658</v>
      </c>
      <c r="Q4614" s="235">
        <v>44593</v>
      </c>
      <c r="R4614" s="236">
        <v>611300</v>
      </c>
      <c r="S4614" s="236">
        <v>831400</v>
      </c>
      <c r="T4614" s="30"/>
      <c r="U4614" s="146"/>
      <c r="V4614" s="146"/>
    </row>
    <row r="4615" spans="1:22" s="31" customFormat="1" ht="15" hidden="1" x14ac:dyDescent="0.25">
      <c r="A4615" s="31">
        <v>3652022</v>
      </c>
      <c r="B4615" s="139" t="s">
        <v>4273</v>
      </c>
      <c r="C4615" s="296"/>
      <c r="D4615" s="297">
        <v>72141200</v>
      </c>
      <c r="E4615" s="297">
        <f>+D4615</f>
        <v>72141200</v>
      </c>
      <c r="F4615" s="297"/>
      <c r="G4615" s="297"/>
      <c r="H4615" s="297"/>
      <c r="I4615" s="297"/>
      <c r="J4615" s="297"/>
      <c r="K4615" s="297"/>
      <c r="L4615" s="141">
        <f>+D4615</f>
        <v>72141200</v>
      </c>
      <c r="M4615" s="142"/>
      <c r="N4615" s="142"/>
      <c r="P4615" s="156"/>
      <c r="Q4615" s="156"/>
      <c r="R4615" s="158"/>
      <c r="S4615" s="158"/>
      <c r="T4615" s="30"/>
    </row>
    <row r="4616" spans="1:22" s="31" customFormat="1" ht="15" x14ac:dyDescent="0.25">
      <c r="B4616" s="100">
        <v>44638.083333333336</v>
      </c>
      <c r="C4616" s="92" t="s">
        <v>4274</v>
      </c>
      <c r="D4616" s="23"/>
      <c r="E4616" s="23">
        <v>2104118.33</v>
      </c>
      <c r="F4616" s="93"/>
      <c r="G4616" s="93">
        <f>+E4616</f>
        <v>2104118.33</v>
      </c>
      <c r="H4616" s="94">
        <v>50392.75</v>
      </c>
      <c r="I4616" s="94">
        <v>0</v>
      </c>
      <c r="J4616" s="94">
        <v>13544.16</v>
      </c>
      <c r="K4616" s="18">
        <f>+G4616-H4616-I4616-J4616</f>
        <v>2040181.4200000002</v>
      </c>
      <c r="L4616" s="19">
        <f>+L4615-G4616</f>
        <v>70037081.670000002</v>
      </c>
      <c r="M4616" s="96"/>
      <c r="N4616" s="96"/>
      <c r="O4616" s="149">
        <f>+VLOOKUP(A4615,'[1]ANEXO 7 - PPTO VIG 2022'!$G$9:$AB$201,21,)-L4617</f>
        <v>0</v>
      </c>
      <c r="P4616" s="231">
        <v>55399238</v>
      </c>
      <c r="Q4616" s="232">
        <v>44531</v>
      </c>
      <c r="R4616" s="233">
        <v>1107300</v>
      </c>
      <c r="S4616" s="233">
        <v>1505900</v>
      </c>
      <c r="T4616" s="30"/>
      <c r="U4616" s="146"/>
      <c r="V4616" s="146"/>
    </row>
    <row r="4617" spans="1:22" s="31" customFormat="1" ht="15" x14ac:dyDescent="0.25">
      <c r="B4617" s="215">
        <v>44645.083333333336</v>
      </c>
      <c r="C4617" s="92" t="s">
        <v>4275</v>
      </c>
      <c r="D4617" s="23"/>
      <c r="E4617" s="23">
        <v>9017650</v>
      </c>
      <c r="F4617" s="93"/>
      <c r="G4617" s="93">
        <f>+E4617</f>
        <v>9017650</v>
      </c>
      <c r="H4617" s="94">
        <v>215968.93</v>
      </c>
      <c r="I4617" s="94">
        <v>261064.26</v>
      </c>
      <c r="J4617" s="94">
        <v>51429.1</v>
      </c>
      <c r="K4617" s="18">
        <f>+G4617-H4617-I4617-J4617</f>
        <v>8489187.7100000009</v>
      </c>
      <c r="L4617" s="19">
        <f>+L4616-G4617</f>
        <v>61019431.670000002</v>
      </c>
      <c r="M4617" s="96"/>
      <c r="N4617" s="96"/>
      <c r="O4617" s="81"/>
      <c r="P4617" s="234">
        <v>56910489</v>
      </c>
      <c r="Q4617" s="235">
        <v>44562</v>
      </c>
      <c r="R4617" s="237">
        <v>903000</v>
      </c>
      <c r="S4617" s="237">
        <v>1155800</v>
      </c>
      <c r="T4617" s="30"/>
      <c r="U4617" s="146"/>
      <c r="V4617" s="146"/>
    </row>
    <row r="4618" spans="1:22" s="31" customFormat="1" ht="15" hidden="1" x14ac:dyDescent="0.25">
      <c r="A4618" s="31">
        <v>4532022</v>
      </c>
      <c r="B4618" s="139" t="s">
        <v>4276</v>
      </c>
      <c r="C4618" s="296"/>
      <c r="D4618" s="297">
        <v>99153129</v>
      </c>
      <c r="E4618" s="297">
        <f>+D4618</f>
        <v>99153129</v>
      </c>
      <c r="F4618" s="297"/>
      <c r="G4618" s="297"/>
      <c r="H4618" s="297"/>
      <c r="I4618" s="297"/>
      <c r="J4618" s="297"/>
      <c r="K4618" s="297"/>
      <c r="L4618" s="141">
        <f>+D4618</f>
        <v>99153129</v>
      </c>
      <c r="M4618" s="142"/>
      <c r="N4618" s="142"/>
      <c r="P4618" s="156"/>
      <c r="Q4618" s="156"/>
      <c r="R4618" s="158"/>
      <c r="S4618" s="158"/>
      <c r="T4618" s="30"/>
    </row>
    <row r="4619" spans="1:22" s="31" customFormat="1" ht="15" x14ac:dyDescent="0.25">
      <c r="B4619" s="100">
        <v>44638.083333333336</v>
      </c>
      <c r="C4619" s="92" t="s">
        <v>4277</v>
      </c>
      <c r="D4619" s="23"/>
      <c r="E4619" s="23">
        <v>7649796</v>
      </c>
      <c r="F4619" s="93"/>
      <c r="G4619" s="93">
        <f>+E4619</f>
        <v>7649796</v>
      </c>
      <c r="H4619" s="94"/>
      <c r="I4619" s="94">
        <v>277245.03000000003</v>
      </c>
      <c r="J4619" s="94">
        <v>51917.33</v>
      </c>
      <c r="K4619" s="18">
        <f>+G4619-H4619-I4619-J4619</f>
        <v>7320633.6399999997</v>
      </c>
      <c r="L4619" s="19">
        <f>+L4618-G4619</f>
        <v>91503333</v>
      </c>
      <c r="M4619" s="96"/>
      <c r="N4619" s="96"/>
      <c r="O4619" s="149">
        <f>+VLOOKUP(A4618,'[1]ANEXO 7 - PPTO VIG 2022'!$G$9:$AB$201,21,)-L4619</f>
        <v>0</v>
      </c>
      <c r="P4619" s="234">
        <v>9429203486</v>
      </c>
      <c r="Q4619" s="235">
        <v>44562</v>
      </c>
      <c r="R4619" s="236">
        <v>437500</v>
      </c>
      <c r="S4619" s="236">
        <v>560000</v>
      </c>
      <c r="T4619" s="30"/>
      <c r="U4619" s="146"/>
      <c r="V4619" s="146"/>
    </row>
    <row r="4620" spans="1:22" s="31" customFormat="1" ht="15" hidden="1" x14ac:dyDescent="0.25">
      <c r="B4620" s="215"/>
      <c r="C4620" s="216"/>
      <c r="D4620" s="217"/>
      <c r="E4620" s="217"/>
      <c r="F4620" s="219"/>
      <c r="G4620" s="219"/>
      <c r="H4620" s="218"/>
      <c r="I4620" s="218"/>
      <c r="J4620" s="218"/>
      <c r="K4620" s="41"/>
      <c r="L4620" s="20"/>
      <c r="M4620" s="96"/>
      <c r="N4620" s="96"/>
      <c r="O4620" s="81"/>
      <c r="P4620" s="234"/>
      <c r="Q4620" s="238"/>
      <c r="R4620" s="237"/>
      <c r="S4620" s="237"/>
      <c r="T4620" s="30"/>
      <c r="U4620" s="146"/>
      <c r="V4620" s="146"/>
    </row>
    <row r="4621" spans="1:22" s="31" customFormat="1" ht="15" hidden="1" x14ac:dyDescent="0.25">
      <c r="A4621" s="31">
        <v>4822022</v>
      </c>
      <c r="B4621" s="139" t="s">
        <v>4278</v>
      </c>
      <c r="C4621" s="288"/>
      <c r="D4621" s="289">
        <v>71500000</v>
      </c>
      <c r="E4621" s="289">
        <f>+D4621</f>
        <v>71500000</v>
      </c>
      <c r="F4621" s="289"/>
      <c r="G4621" s="289"/>
      <c r="H4621" s="289"/>
      <c r="I4621" s="289"/>
      <c r="J4621" s="289"/>
      <c r="K4621" s="289"/>
      <c r="L4621" s="141">
        <f>+D4621</f>
        <v>71500000</v>
      </c>
      <c r="M4621" s="142"/>
      <c r="N4621" s="142"/>
      <c r="P4621" s="156"/>
      <c r="Q4621" s="156"/>
      <c r="R4621" s="158"/>
      <c r="S4621" s="158"/>
      <c r="T4621" s="30"/>
    </row>
    <row r="4622" spans="1:22" s="31" customFormat="1" ht="15" x14ac:dyDescent="0.25">
      <c r="B4622" s="100">
        <v>44638.083333333336</v>
      </c>
      <c r="C4622" s="92" t="s">
        <v>4279</v>
      </c>
      <c r="D4622" s="23"/>
      <c r="E4622" s="23">
        <v>1083333</v>
      </c>
      <c r="F4622" s="93"/>
      <c r="G4622" s="93">
        <f>+E4622</f>
        <v>1083333</v>
      </c>
      <c r="H4622" s="94">
        <v>0</v>
      </c>
      <c r="I4622" s="94">
        <v>0</v>
      </c>
      <c r="J4622" s="94">
        <v>7352.32</v>
      </c>
      <c r="K4622" s="18">
        <f>+G4622-H4622-I4622-J4622</f>
        <v>1075980.68</v>
      </c>
      <c r="L4622" s="19">
        <f>+L4621-G4622</f>
        <v>70416667</v>
      </c>
      <c r="M4622" s="96"/>
      <c r="N4622" s="96"/>
      <c r="O4622" s="149">
        <f>+VLOOKUP(A4621,'[1]ANEXO 7 - PPTO VIG 2022'!$G$9:$AB$201,21,)-L4623</f>
        <v>0</v>
      </c>
      <c r="P4622" s="227">
        <v>55639011</v>
      </c>
      <c r="Q4622" s="228">
        <v>44531</v>
      </c>
      <c r="R4622" s="229">
        <v>225000</v>
      </c>
      <c r="S4622" s="229">
        <v>288000</v>
      </c>
      <c r="T4622" s="30"/>
      <c r="U4622" s="146"/>
      <c r="V4622" s="146"/>
    </row>
    <row r="4623" spans="1:22" s="31" customFormat="1" ht="15" x14ac:dyDescent="0.25">
      <c r="B4623" s="100">
        <v>44638.083333333336</v>
      </c>
      <c r="C4623" s="92" t="s">
        <v>4280</v>
      </c>
      <c r="D4623" s="23"/>
      <c r="E4623" s="23">
        <v>6500000</v>
      </c>
      <c r="F4623" s="93"/>
      <c r="G4623" s="93">
        <f>+E4623</f>
        <v>6500000</v>
      </c>
      <c r="H4623" s="94">
        <v>0</v>
      </c>
      <c r="I4623" s="94">
        <v>40122.300000000003</v>
      </c>
      <c r="J4623" s="94">
        <v>44113.94</v>
      </c>
      <c r="K4623" s="18">
        <f>+G4623-H4623-I4623-J4623</f>
        <v>6415763.7599999998</v>
      </c>
      <c r="L4623" s="19">
        <f>+L4622-G4623</f>
        <v>63916667</v>
      </c>
      <c r="M4623" s="96"/>
      <c r="N4623" s="96"/>
      <c r="O4623" s="81"/>
      <c r="P4623" s="227">
        <v>56715486</v>
      </c>
      <c r="Q4623" s="228">
        <v>44562</v>
      </c>
      <c r="R4623" s="229">
        <v>325000</v>
      </c>
      <c r="S4623" s="229">
        <v>416000</v>
      </c>
      <c r="T4623" s="30"/>
      <c r="U4623" s="146"/>
      <c r="V4623" s="146"/>
    </row>
    <row r="4624" spans="1:22" s="31" customFormat="1" ht="15" hidden="1" x14ac:dyDescent="0.25">
      <c r="A4624" s="31">
        <v>4832022</v>
      </c>
      <c r="B4624" s="139" t="s">
        <v>4281</v>
      </c>
      <c r="C4624" s="296"/>
      <c r="D4624" s="297">
        <v>16974400</v>
      </c>
      <c r="E4624" s="297">
        <f>+D4624</f>
        <v>16974400</v>
      </c>
      <c r="F4624" s="297"/>
      <c r="G4624" s="297"/>
      <c r="H4624" s="297"/>
      <c r="I4624" s="297"/>
      <c r="J4624" s="297"/>
      <c r="K4624" s="297"/>
      <c r="L4624" s="141">
        <f>+D4624</f>
        <v>16974400</v>
      </c>
      <c r="M4624" s="142"/>
      <c r="N4624" s="142"/>
      <c r="P4624" s="156"/>
      <c r="Q4624" s="156"/>
      <c r="R4624" s="158"/>
      <c r="S4624" s="158"/>
      <c r="T4624" s="30"/>
    </row>
    <row r="4625" spans="1:22" s="31" customFormat="1" ht="15" x14ac:dyDescent="0.25">
      <c r="B4625" s="100">
        <v>44644.083333333336</v>
      </c>
      <c r="C4625" s="92" t="s">
        <v>4282</v>
      </c>
      <c r="D4625" s="23"/>
      <c r="E4625" s="23">
        <v>70726</v>
      </c>
      <c r="F4625" s="93"/>
      <c r="G4625" s="93">
        <f>+E4625</f>
        <v>70726</v>
      </c>
      <c r="H4625" s="94"/>
      <c r="I4625" s="94"/>
      <c r="J4625" s="94">
        <v>480</v>
      </c>
      <c r="K4625" s="18">
        <f>+G4625-H4625-I4625-J4625</f>
        <v>70246</v>
      </c>
      <c r="L4625" s="19">
        <f>+L4624-G4625</f>
        <v>16903674</v>
      </c>
      <c r="M4625" s="96"/>
      <c r="N4625" s="96"/>
      <c r="O4625" s="149">
        <f>+VLOOKUP(A4624,'[1]ANEXO 7 - PPTO VIG 2022'!$G$9:$AB$201,21,)-L4626</f>
        <v>0</v>
      </c>
      <c r="P4625" s="227">
        <v>56263493</v>
      </c>
      <c r="Q4625" s="228">
        <v>44531</v>
      </c>
      <c r="R4625" s="229">
        <v>113600</v>
      </c>
      <c r="S4625" s="229">
        <v>145400</v>
      </c>
      <c r="T4625" s="30"/>
      <c r="U4625" s="146"/>
      <c r="V4625" s="146"/>
    </row>
    <row r="4626" spans="1:22" s="31" customFormat="1" ht="15" x14ac:dyDescent="0.25">
      <c r="B4626" s="215">
        <v>44645.083333333336</v>
      </c>
      <c r="C4626" s="92" t="s">
        <v>4283</v>
      </c>
      <c r="D4626" s="23"/>
      <c r="E4626" s="23">
        <v>2121800</v>
      </c>
      <c r="F4626" s="93"/>
      <c r="G4626" s="93">
        <f>+E4626</f>
        <v>2121800</v>
      </c>
      <c r="H4626" s="94"/>
      <c r="I4626" s="94"/>
      <c r="J4626" s="94">
        <v>14400.15</v>
      </c>
      <c r="K4626" s="18">
        <f>+G4626-H4626-I4626-J4626</f>
        <v>2107399.85</v>
      </c>
      <c r="L4626" s="19">
        <f>+L4625-G4626</f>
        <v>14781874</v>
      </c>
      <c r="M4626" s="96"/>
      <c r="N4626" s="96"/>
      <c r="O4626" s="81"/>
      <c r="P4626" s="234">
        <v>56963537</v>
      </c>
      <c r="Q4626" s="228">
        <v>44562</v>
      </c>
      <c r="R4626" s="237">
        <v>125000</v>
      </c>
      <c r="S4626" s="237">
        <v>160000</v>
      </c>
      <c r="T4626" s="30"/>
      <c r="U4626" s="146"/>
      <c r="V4626" s="146"/>
    </row>
    <row r="4627" spans="1:22" s="31" customFormat="1" ht="15" hidden="1" x14ac:dyDescent="0.25">
      <c r="A4627" s="31">
        <v>3672022</v>
      </c>
      <c r="B4627" s="139" t="s">
        <v>4284</v>
      </c>
      <c r="C4627" s="294"/>
      <c r="D4627" s="210">
        <v>58340112</v>
      </c>
      <c r="E4627" s="210">
        <f>+D4627</f>
        <v>58340112</v>
      </c>
      <c r="F4627" s="210"/>
      <c r="G4627" s="210"/>
      <c r="H4627" s="210"/>
      <c r="I4627" s="210"/>
      <c r="J4627" s="210"/>
      <c r="K4627" s="210"/>
      <c r="L4627" s="141">
        <f>+D4627</f>
        <v>58340112</v>
      </c>
      <c r="M4627" s="142"/>
      <c r="N4627" s="142"/>
      <c r="P4627" s="156"/>
      <c r="Q4627" s="156"/>
      <c r="R4627" s="158"/>
      <c r="S4627" s="158"/>
      <c r="T4627" s="30"/>
    </row>
    <row r="4628" spans="1:22" s="31" customFormat="1" ht="15" x14ac:dyDescent="0.25">
      <c r="B4628" s="89">
        <v>44642.083333333336</v>
      </c>
      <c r="C4628" s="92" t="s">
        <v>4285</v>
      </c>
      <c r="D4628" s="23"/>
      <c r="E4628" s="23">
        <v>2059560</v>
      </c>
      <c r="F4628" s="93"/>
      <c r="G4628" s="93">
        <f>+E4628</f>
        <v>2059560</v>
      </c>
      <c r="H4628" s="94">
        <v>0</v>
      </c>
      <c r="I4628" s="94">
        <v>0</v>
      </c>
      <c r="J4628" s="94">
        <v>13977.74</v>
      </c>
      <c r="K4628" s="18">
        <f>+G4628-H4628-I4628-J4628</f>
        <v>2045582.26</v>
      </c>
      <c r="L4628" s="19">
        <f>+L4627-G4628</f>
        <v>56280552</v>
      </c>
      <c r="M4628" s="96"/>
      <c r="N4628" s="96"/>
      <c r="O4628" s="149">
        <f>+VLOOKUP(A4627,'[1]ANEXO 7 - PPTO VIG 2022'!$G$9:$AB$201,21,)-L4629</f>
        <v>0</v>
      </c>
      <c r="P4628" s="227">
        <v>7823081921</v>
      </c>
      <c r="Q4628" s="228">
        <v>44562</v>
      </c>
      <c r="R4628" s="229">
        <v>256000</v>
      </c>
      <c r="S4628" s="229">
        <v>200000</v>
      </c>
      <c r="T4628" s="30"/>
      <c r="U4628" s="146"/>
      <c r="V4628" s="146"/>
    </row>
    <row r="4629" spans="1:22" s="31" customFormat="1" ht="15" x14ac:dyDescent="0.25">
      <c r="B4629" s="89">
        <v>44643.083333333336</v>
      </c>
      <c r="C4629" s="92" t="s">
        <v>4286</v>
      </c>
      <c r="D4629" s="23"/>
      <c r="E4629" s="23">
        <v>7723352</v>
      </c>
      <c r="F4629" s="93"/>
      <c r="G4629" s="93">
        <f>+E4629</f>
        <v>7723352</v>
      </c>
      <c r="H4629" s="94">
        <v>0</v>
      </c>
      <c r="I4629" s="94">
        <v>277883.03999999998</v>
      </c>
      <c r="J4629" s="94">
        <v>52416.54</v>
      </c>
      <c r="K4629" s="18">
        <f>+G4629-H4629-I4629-J4629</f>
        <v>7393052.4199999999</v>
      </c>
      <c r="L4629" s="19">
        <f>+L4628-G4629</f>
        <v>48557200</v>
      </c>
      <c r="M4629" s="96"/>
      <c r="N4629" s="96"/>
      <c r="O4629" s="81"/>
      <c r="P4629" s="227">
        <v>7827443184</v>
      </c>
      <c r="Q4629" s="228">
        <v>44593</v>
      </c>
      <c r="R4629" s="229">
        <v>575000</v>
      </c>
      <c r="S4629" s="229">
        <v>782000</v>
      </c>
      <c r="T4629" s="30"/>
      <c r="U4629" s="146"/>
      <c r="V4629" s="146"/>
    </row>
    <row r="4630" spans="1:22" s="31" customFormat="1" ht="15" hidden="1" x14ac:dyDescent="0.25">
      <c r="A4630" s="31">
        <v>4652022</v>
      </c>
      <c r="B4630" s="139" t="s">
        <v>4287</v>
      </c>
      <c r="C4630" s="140"/>
      <c r="D4630" s="141">
        <v>15200000</v>
      </c>
      <c r="E4630" s="141">
        <f>+D4630</f>
        <v>15200000</v>
      </c>
      <c r="F4630" s="141"/>
      <c r="G4630" s="141"/>
      <c r="H4630" s="141"/>
      <c r="I4630" s="141"/>
      <c r="J4630" s="141"/>
      <c r="K4630" s="141"/>
      <c r="L4630" s="141">
        <f>+D4630</f>
        <v>15200000</v>
      </c>
      <c r="M4630" s="142"/>
      <c r="N4630" s="142"/>
      <c r="P4630" s="156"/>
      <c r="Q4630" s="156"/>
      <c r="R4630" s="158"/>
      <c r="S4630" s="158"/>
      <c r="T4630" s="30"/>
    </row>
    <row r="4631" spans="1:22" s="31" customFormat="1" ht="15" x14ac:dyDescent="0.25">
      <c r="B4631" s="89">
        <v>44644.083333333336</v>
      </c>
      <c r="C4631" s="92" t="s">
        <v>4288</v>
      </c>
      <c r="D4631" s="23"/>
      <c r="E4631" s="23">
        <v>253333</v>
      </c>
      <c r="F4631" s="93"/>
      <c r="G4631" s="93">
        <f>+E4631</f>
        <v>253333</v>
      </c>
      <c r="H4631" s="94"/>
      <c r="I4631" s="94"/>
      <c r="J4631" s="94">
        <v>1719.31</v>
      </c>
      <c r="K4631" s="18">
        <f>+G4631-H4631-I4631-J4631</f>
        <v>251613.69</v>
      </c>
      <c r="L4631" s="19">
        <f>+L4630-G4631</f>
        <v>14946667</v>
      </c>
      <c r="M4631" s="96"/>
      <c r="N4631" s="96"/>
      <c r="O4631" s="149">
        <f>+VLOOKUP(A4630,'[1]ANEXO 7 - PPTO VIG 2022'!$G$9:$AB$201,21,)-L4632</f>
        <v>0</v>
      </c>
      <c r="P4631" s="227">
        <v>8357121817</v>
      </c>
      <c r="Q4631" s="228">
        <v>44562</v>
      </c>
      <c r="R4631" s="229">
        <v>125000</v>
      </c>
      <c r="S4631" s="229">
        <v>160000</v>
      </c>
      <c r="T4631" s="30"/>
      <c r="U4631" s="146"/>
      <c r="V4631" s="146"/>
    </row>
    <row r="4632" spans="1:22" s="31" customFormat="1" ht="15" x14ac:dyDescent="0.25">
      <c r="B4632" s="215">
        <v>44644.083333333336</v>
      </c>
      <c r="C4632" s="216" t="s">
        <v>4289</v>
      </c>
      <c r="D4632" s="217"/>
      <c r="E4632" s="217">
        <v>1900000</v>
      </c>
      <c r="F4632" s="219"/>
      <c r="G4632" s="93">
        <f>+E4632</f>
        <v>1900000</v>
      </c>
      <c r="H4632" s="218"/>
      <c r="I4632" s="218"/>
      <c r="J4632" s="218">
        <v>12894.84</v>
      </c>
      <c r="K4632" s="18">
        <f>+G4632-H4632-I4632-J4632</f>
        <v>1887105.16</v>
      </c>
      <c r="L4632" s="19">
        <f>+L4631-G4632</f>
        <v>13046667</v>
      </c>
      <c r="M4632" s="96"/>
      <c r="N4632" s="96"/>
      <c r="O4632" s="81"/>
      <c r="P4632" s="234">
        <v>8357131201</v>
      </c>
      <c r="Q4632" s="228">
        <v>44593</v>
      </c>
      <c r="R4632" s="229">
        <v>125000</v>
      </c>
      <c r="S4632" s="229">
        <v>160000</v>
      </c>
      <c r="T4632" s="30"/>
      <c r="U4632" s="146"/>
      <c r="V4632" s="146"/>
    </row>
    <row r="4633" spans="1:22" s="31" customFormat="1" ht="15" hidden="1" x14ac:dyDescent="0.25">
      <c r="A4633" s="31">
        <v>4712022</v>
      </c>
      <c r="B4633" s="139" t="s">
        <v>4290</v>
      </c>
      <c r="C4633" s="140"/>
      <c r="D4633" s="141">
        <v>30400000</v>
      </c>
      <c r="E4633" s="141">
        <f>+D4633</f>
        <v>30400000</v>
      </c>
      <c r="F4633" s="141"/>
      <c r="G4633" s="141"/>
      <c r="H4633" s="141"/>
      <c r="I4633" s="141"/>
      <c r="J4633" s="141"/>
      <c r="K4633" s="141"/>
      <c r="L4633" s="141">
        <f>+D4633</f>
        <v>30400000</v>
      </c>
      <c r="M4633" s="142"/>
      <c r="N4633" s="142"/>
      <c r="P4633" s="156"/>
      <c r="Q4633" s="156"/>
      <c r="R4633" s="158"/>
      <c r="S4633" s="158"/>
      <c r="T4633" s="30"/>
    </row>
    <row r="4634" spans="1:22" s="31" customFormat="1" ht="15" x14ac:dyDescent="0.25">
      <c r="B4634" s="89">
        <v>44644.083333333336</v>
      </c>
      <c r="C4634" s="92" t="s">
        <v>4291</v>
      </c>
      <c r="D4634" s="23"/>
      <c r="E4634" s="23">
        <v>126666</v>
      </c>
      <c r="F4634" s="93"/>
      <c r="G4634" s="93">
        <f>+E4634</f>
        <v>126666</v>
      </c>
      <c r="H4634" s="94"/>
      <c r="I4634" s="94"/>
      <c r="J4634" s="94">
        <v>970.26</v>
      </c>
      <c r="K4634" s="18">
        <f>+G4634-H4634-I4634-J4634</f>
        <v>125695.74</v>
      </c>
      <c r="L4634" s="19">
        <f>+L4633-G4634</f>
        <v>30273334</v>
      </c>
      <c r="M4634" s="96"/>
      <c r="N4634" s="96"/>
      <c r="O4634" s="149">
        <f>+VLOOKUP(A4633,'[1]ANEXO 7 - PPTO VIG 2022'!$G$9:$AB$201,21,)-L4635</f>
        <v>0</v>
      </c>
      <c r="P4634" s="231">
        <v>56906772</v>
      </c>
      <c r="Q4634" s="232">
        <v>44562</v>
      </c>
      <c r="R4634" s="233">
        <v>6400</v>
      </c>
      <c r="S4634" s="233">
        <v>8200</v>
      </c>
      <c r="T4634" s="30"/>
      <c r="U4634" s="146"/>
      <c r="V4634" s="146"/>
    </row>
    <row r="4635" spans="1:22" s="31" customFormat="1" ht="15" x14ac:dyDescent="0.25">
      <c r="B4635" s="215">
        <v>44645.083333333336</v>
      </c>
      <c r="C4635" s="216" t="s">
        <v>4292</v>
      </c>
      <c r="D4635" s="217"/>
      <c r="E4635" s="217">
        <v>3800000</v>
      </c>
      <c r="F4635" s="219"/>
      <c r="G4635" s="93">
        <f>+E4635</f>
        <v>3800000</v>
      </c>
      <c r="H4635" s="218"/>
      <c r="I4635" s="218"/>
      <c r="J4635" s="218">
        <v>28996.16</v>
      </c>
      <c r="K4635" s="18">
        <f>+G4635-H4635-I4635-J4635</f>
        <v>3771003.84</v>
      </c>
      <c r="L4635" s="19">
        <f>+L4634-G4635</f>
        <v>26473334</v>
      </c>
      <c r="M4635" s="96"/>
      <c r="N4635" s="96"/>
      <c r="O4635" s="81"/>
      <c r="P4635" s="227">
        <v>56906772</v>
      </c>
      <c r="Q4635" s="228">
        <v>44562</v>
      </c>
      <c r="R4635" s="229">
        <v>6400</v>
      </c>
      <c r="S4635" s="229">
        <v>8200</v>
      </c>
      <c r="T4635" s="30"/>
      <c r="U4635" s="146"/>
      <c r="V4635" s="146"/>
    </row>
    <row r="4636" spans="1:22" s="31" customFormat="1" ht="15" hidden="1" x14ac:dyDescent="0.25">
      <c r="A4636" s="31">
        <v>5112022</v>
      </c>
      <c r="B4636" s="139" t="s">
        <v>4293</v>
      </c>
      <c r="C4636" s="140"/>
      <c r="D4636" s="141">
        <v>48000000</v>
      </c>
      <c r="E4636" s="141">
        <f>+D4636</f>
        <v>48000000</v>
      </c>
      <c r="F4636" s="141"/>
      <c r="G4636" s="141"/>
      <c r="H4636" s="141"/>
      <c r="I4636" s="141"/>
      <c r="J4636" s="141"/>
      <c r="K4636" s="141"/>
      <c r="L4636" s="141">
        <f>+D4636</f>
        <v>48000000</v>
      </c>
      <c r="M4636" s="142"/>
      <c r="N4636" s="142"/>
      <c r="P4636" s="156"/>
      <c r="Q4636" s="156"/>
      <c r="R4636" s="158"/>
      <c r="S4636" s="158"/>
      <c r="T4636" s="30"/>
    </row>
    <row r="4637" spans="1:22" s="31" customFormat="1" ht="15" x14ac:dyDescent="0.25">
      <c r="B4637" s="89">
        <v>44645.083333333336</v>
      </c>
      <c r="C4637" s="92" t="s">
        <v>4294</v>
      </c>
      <c r="D4637" s="23"/>
      <c r="E4637" s="23">
        <v>200000</v>
      </c>
      <c r="F4637" s="93"/>
      <c r="G4637" s="93">
        <f>+E4637</f>
        <v>200000</v>
      </c>
      <c r="H4637" s="94">
        <v>0</v>
      </c>
      <c r="I4637" s="94">
        <v>0</v>
      </c>
      <c r="J4637" s="94">
        <v>1357.35</v>
      </c>
      <c r="K4637" s="18">
        <f>+G4637-H4637-I4637-J4637</f>
        <v>198642.65</v>
      </c>
      <c r="L4637" s="19">
        <f>+L4636-G4637</f>
        <v>47800000</v>
      </c>
      <c r="M4637" s="96"/>
      <c r="N4637" s="96"/>
      <c r="O4637" s="149">
        <f>+VLOOKUP(A4636,'[1]ANEXO 7 - PPTO VIG 2022'!$G$9:$AB$201,21,)-L4638</f>
        <v>0</v>
      </c>
      <c r="P4637" s="227">
        <v>9428682192</v>
      </c>
      <c r="Q4637" s="228">
        <v>44531</v>
      </c>
      <c r="R4637" s="229">
        <v>196500</v>
      </c>
      <c r="S4637" s="229">
        <v>251600</v>
      </c>
      <c r="T4637" s="30"/>
      <c r="U4637" s="146"/>
      <c r="V4637" s="146"/>
    </row>
    <row r="4638" spans="1:22" s="31" customFormat="1" ht="15" x14ac:dyDescent="0.25">
      <c r="B4638" s="215">
        <v>44644.083333333336</v>
      </c>
      <c r="C4638" s="216" t="s">
        <v>4295</v>
      </c>
      <c r="D4638" s="217"/>
      <c r="E4638" s="217">
        <v>6000000</v>
      </c>
      <c r="F4638" s="219"/>
      <c r="G4638" s="93">
        <f>+E4638</f>
        <v>6000000</v>
      </c>
      <c r="H4638" s="218">
        <v>0</v>
      </c>
      <c r="I4638" s="218">
        <v>103990.8</v>
      </c>
      <c r="J4638" s="218">
        <v>42527.55</v>
      </c>
      <c r="K4638" s="18">
        <f>+G4638-H4638-I4638-J4638</f>
        <v>5853481.6500000004</v>
      </c>
      <c r="L4638" s="19">
        <f>+L4637-G4638</f>
        <v>41800000</v>
      </c>
      <c r="M4638" s="96"/>
      <c r="N4638" s="96"/>
      <c r="O4638" s="81"/>
      <c r="P4638" s="227">
        <v>9429793823</v>
      </c>
      <c r="Q4638" s="228">
        <v>44562</v>
      </c>
      <c r="R4638" s="230">
        <v>196500</v>
      </c>
      <c r="S4638" s="230">
        <v>251600</v>
      </c>
      <c r="T4638" s="30"/>
      <c r="U4638" s="146"/>
      <c r="V4638" s="146"/>
    </row>
    <row r="4639" spans="1:22" s="31" customFormat="1" ht="15" hidden="1" x14ac:dyDescent="0.25">
      <c r="A4639" s="31">
        <v>1962022</v>
      </c>
      <c r="B4639" s="139" t="s">
        <v>4296</v>
      </c>
      <c r="C4639" s="140"/>
      <c r="D4639" s="141">
        <v>115519579</v>
      </c>
      <c r="E4639" s="141">
        <f>+D4639</f>
        <v>115519579</v>
      </c>
      <c r="F4639" s="141"/>
      <c r="G4639" s="141"/>
      <c r="H4639" s="141"/>
      <c r="I4639" s="141"/>
      <c r="J4639" s="141"/>
      <c r="K4639" s="141"/>
      <c r="L4639" s="141">
        <f>+D4639</f>
        <v>115519579</v>
      </c>
      <c r="M4639" s="142"/>
      <c r="N4639" s="142"/>
      <c r="P4639" s="156"/>
      <c r="Q4639" s="156"/>
      <c r="R4639" s="158"/>
      <c r="S4639" s="158"/>
      <c r="T4639" s="30"/>
    </row>
    <row r="4640" spans="1:22" s="31" customFormat="1" ht="15" x14ac:dyDescent="0.25">
      <c r="B4640" s="89">
        <v>44648.083333333336</v>
      </c>
      <c r="C4640" s="92" t="s">
        <v>4297</v>
      </c>
      <c r="D4640" s="23"/>
      <c r="E4640" s="23">
        <v>5958014</v>
      </c>
      <c r="F4640" s="93"/>
      <c r="G4640" s="93">
        <f>+E4640</f>
        <v>5958014</v>
      </c>
      <c r="H4640" s="94">
        <v>142692</v>
      </c>
      <c r="I4640" s="94">
        <v>0</v>
      </c>
      <c r="J4640" s="94">
        <v>33979.5</v>
      </c>
      <c r="K4640" s="18">
        <f>+G4640-H4640-I4640-J4640</f>
        <v>5781342.5</v>
      </c>
      <c r="L4640" s="19">
        <f>+L4639-G4640</f>
        <v>109561565</v>
      </c>
      <c r="M4640" s="96"/>
      <c r="N4640" s="96"/>
      <c r="O4640" s="149">
        <f>+VLOOKUP(A4639,'[1]ANEXO 7 - PPTO VIG 2022'!$G$9:$AB$201,21,)-L4641</f>
        <v>0</v>
      </c>
      <c r="P4640" s="227">
        <v>56284625</v>
      </c>
      <c r="Q4640" s="228">
        <v>44562</v>
      </c>
      <c r="R4640" s="229">
        <v>1062500</v>
      </c>
      <c r="S4640" s="229">
        <v>1445000</v>
      </c>
      <c r="T4640" s="30"/>
      <c r="U4640" s="146"/>
      <c r="V4640" s="146"/>
    </row>
    <row r="4641" spans="1:22" s="31" customFormat="1" ht="15" x14ac:dyDescent="0.25">
      <c r="B4641" s="215">
        <v>44648.083333333336</v>
      </c>
      <c r="C4641" s="216" t="s">
        <v>4298</v>
      </c>
      <c r="D4641" s="217"/>
      <c r="E4641" s="217">
        <v>9930024</v>
      </c>
      <c r="F4641" s="219"/>
      <c r="G4641" s="93">
        <f>+E4641</f>
        <v>9930024</v>
      </c>
      <c r="H4641" s="218">
        <v>237819.9</v>
      </c>
      <c r="I4641" s="218">
        <v>350159.58</v>
      </c>
      <c r="J4641" s="218">
        <v>56632.51</v>
      </c>
      <c r="K4641" s="18">
        <f>+G4641-H4641-I4641-J4641</f>
        <v>9285412.0099999998</v>
      </c>
      <c r="L4641" s="19">
        <f>+L4640-G4641</f>
        <v>99631541</v>
      </c>
      <c r="M4641" s="96"/>
      <c r="N4641" s="96"/>
      <c r="O4641" s="81"/>
      <c r="P4641" s="227">
        <v>56974709</v>
      </c>
      <c r="Q4641" s="228">
        <v>44593</v>
      </c>
      <c r="R4641" s="229">
        <v>1062500</v>
      </c>
      <c r="S4641" s="229">
        <v>1445000</v>
      </c>
      <c r="T4641" s="30"/>
      <c r="U4641" s="146"/>
      <c r="V4641" s="146"/>
    </row>
    <row r="4642" spans="1:22" s="31" customFormat="1" ht="15" hidden="1" x14ac:dyDescent="0.25">
      <c r="A4642" s="31">
        <v>3422022</v>
      </c>
      <c r="B4642" s="139" t="s">
        <v>4299</v>
      </c>
      <c r="C4642" s="140"/>
      <c r="D4642" s="141">
        <v>23170056</v>
      </c>
      <c r="E4642" s="141">
        <f>+D4642</f>
        <v>23170056</v>
      </c>
      <c r="F4642" s="141"/>
      <c r="G4642" s="141"/>
      <c r="H4642" s="141"/>
      <c r="I4642" s="141"/>
      <c r="J4642" s="141"/>
      <c r="K4642" s="141"/>
      <c r="L4642" s="141">
        <f>+D4642</f>
        <v>23170056</v>
      </c>
      <c r="M4642" s="142"/>
      <c r="N4642" s="142"/>
      <c r="P4642" s="156"/>
      <c r="Q4642" s="156"/>
      <c r="R4642" s="158"/>
      <c r="S4642" s="158"/>
      <c r="T4642" s="30"/>
    </row>
    <row r="4643" spans="1:22" s="31" customFormat="1" ht="15" x14ac:dyDescent="0.25">
      <c r="B4643" s="89">
        <v>44643.083333333336</v>
      </c>
      <c r="C4643" s="92" t="s">
        <v>4300</v>
      </c>
      <c r="D4643" s="23"/>
      <c r="E4643" s="23">
        <v>772335</v>
      </c>
      <c r="F4643" s="93"/>
      <c r="G4643" s="93">
        <f>+E4643</f>
        <v>772335</v>
      </c>
      <c r="H4643" s="94"/>
      <c r="I4643" s="94"/>
      <c r="J4643" s="94">
        <v>5241.6499999999996</v>
      </c>
      <c r="K4643" s="18">
        <f>+G4643-H4643-I4643-J4643</f>
        <v>767093.35</v>
      </c>
      <c r="L4643" s="19">
        <f>+L4642-G4643</f>
        <v>22397721</v>
      </c>
      <c r="M4643" s="96"/>
      <c r="N4643" s="96"/>
      <c r="O4643" s="149">
        <f>+VLOOKUP(A4642,'[1]ANEXO 7 - PPTO VIG 2022'!$G$9:$AB$201,21,)-L4644</f>
        <v>0</v>
      </c>
      <c r="P4643" s="227">
        <v>22615527</v>
      </c>
      <c r="Q4643" s="228">
        <v>44562</v>
      </c>
      <c r="R4643" s="229">
        <v>77300</v>
      </c>
      <c r="S4643" s="229">
        <v>98900</v>
      </c>
      <c r="T4643" s="30"/>
      <c r="U4643" s="146"/>
      <c r="V4643" s="146"/>
    </row>
    <row r="4644" spans="1:22" s="31" customFormat="1" ht="15" x14ac:dyDescent="0.25">
      <c r="B4644" s="215">
        <v>44643.083333333336</v>
      </c>
      <c r="C4644" s="216" t="s">
        <v>4301</v>
      </c>
      <c r="D4644" s="217"/>
      <c r="E4644" s="217">
        <v>3861676</v>
      </c>
      <c r="F4644" s="219"/>
      <c r="G4644" s="93">
        <f>+E4644</f>
        <v>3861676</v>
      </c>
      <c r="H4644" s="218"/>
      <c r="I4644" s="218"/>
      <c r="J4644" s="218">
        <v>26208.27</v>
      </c>
      <c r="K4644" s="18">
        <f>+G4644-H4644-I4644-J4644</f>
        <v>3835467.73</v>
      </c>
      <c r="L4644" s="19">
        <f>+L4643-G4644</f>
        <v>18536045</v>
      </c>
      <c r="M4644" s="96"/>
      <c r="N4644" s="96"/>
      <c r="O4644" s="81"/>
      <c r="P4644" s="227">
        <v>22869722</v>
      </c>
      <c r="Q4644" s="228">
        <v>44593</v>
      </c>
      <c r="R4644" s="229">
        <v>5600</v>
      </c>
      <c r="S4644" s="229">
        <v>7200</v>
      </c>
      <c r="T4644" s="30"/>
      <c r="U4644" s="146"/>
      <c r="V4644" s="146"/>
    </row>
    <row r="4645" spans="1:22" s="31" customFormat="1" ht="15" hidden="1" x14ac:dyDescent="0.25">
      <c r="B4645" s="215"/>
      <c r="C4645" s="216"/>
      <c r="D4645" s="217"/>
      <c r="E4645" s="217"/>
      <c r="F4645" s="219"/>
      <c r="G4645" s="219"/>
      <c r="H4645" s="218"/>
      <c r="I4645" s="218"/>
      <c r="J4645" s="218"/>
      <c r="K4645" s="41"/>
      <c r="L4645" s="20"/>
      <c r="M4645" s="96"/>
      <c r="N4645" s="96"/>
      <c r="O4645" s="81"/>
      <c r="P4645" s="234">
        <v>22615547</v>
      </c>
      <c r="Q4645" s="228">
        <v>44593</v>
      </c>
      <c r="R4645" s="229">
        <v>187500</v>
      </c>
      <c r="S4645" s="229">
        <v>240000</v>
      </c>
      <c r="T4645" s="30"/>
      <c r="U4645" s="146"/>
      <c r="V4645" s="146"/>
    </row>
    <row r="4646" spans="1:22" s="31" customFormat="1" ht="15" hidden="1" x14ac:dyDescent="0.25">
      <c r="B4646" s="215"/>
      <c r="C4646" s="216"/>
      <c r="D4646" s="217"/>
      <c r="E4646" s="217"/>
      <c r="F4646" s="219"/>
      <c r="G4646" s="219"/>
      <c r="H4646" s="218"/>
      <c r="I4646" s="218"/>
      <c r="J4646" s="218"/>
      <c r="K4646" s="41"/>
      <c r="L4646" s="20"/>
      <c r="M4646" s="96"/>
      <c r="N4646" s="96"/>
      <c r="O4646" s="81"/>
      <c r="P4646" s="234"/>
      <c r="Q4646" s="228"/>
      <c r="R4646" s="229"/>
      <c r="S4646" s="229"/>
      <c r="T4646" s="30"/>
      <c r="U4646" s="146"/>
      <c r="V4646" s="146"/>
    </row>
    <row r="4647" spans="1:22" s="31" customFormat="1" ht="15" hidden="1" x14ac:dyDescent="0.25">
      <c r="A4647" s="31">
        <v>4172022</v>
      </c>
      <c r="B4647" s="139" t="s">
        <v>4302</v>
      </c>
      <c r="C4647" s="140"/>
      <c r="D4647" s="141">
        <v>87016433</v>
      </c>
      <c r="E4647" s="141">
        <f>+D4647</f>
        <v>87016433</v>
      </c>
      <c r="F4647" s="141"/>
      <c r="G4647" s="141"/>
      <c r="H4647" s="141"/>
      <c r="I4647" s="141"/>
      <c r="J4647" s="141"/>
      <c r="K4647" s="141"/>
      <c r="L4647" s="141">
        <f>+D4647</f>
        <v>87016433</v>
      </c>
      <c r="M4647" s="142"/>
      <c r="N4647" s="142"/>
      <c r="P4647" s="156"/>
      <c r="Q4647" s="156"/>
      <c r="R4647" s="158"/>
      <c r="S4647" s="158"/>
      <c r="T4647" s="30"/>
    </row>
    <row r="4648" spans="1:22" s="31" customFormat="1" ht="15" x14ac:dyDescent="0.25">
      <c r="B4648" s="89">
        <v>44644.083333333336</v>
      </c>
      <c r="C4648" s="92" t="s">
        <v>4303</v>
      </c>
      <c r="D4648" s="23"/>
      <c r="E4648" s="23">
        <v>257445</v>
      </c>
      <c r="F4648" s="93"/>
      <c r="G4648" s="93">
        <f>+E4648</f>
        <v>257445</v>
      </c>
      <c r="H4648" s="94">
        <v>6165.7</v>
      </c>
      <c r="I4648" s="94">
        <v>0</v>
      </c>
      <c r="J4648" s="94">
        <v>1468.25</v>
      </c>
      <c r="K4648" s="18">
        <f>+G4648-H4648-I4648-J4648</f>
        <v>249811.05</v>
      </c>
      <c r="L4648" s="19">
        <f>+L4647-G4648</f>
        <v>86758988</v>
      </c>
      <c r="M4648" s="96"/>
      <c r="N4648" s="96"/>
      <c r="O4648" s="149">
        <f>+VLOOKUP(A4647,'[1]ANEXO 7 - PPTO VIG 2022'!$G$9:$AB$201,21,)-L4648</f>
        <v>0</v>
      </c>
      <c r="P4648" s="231">
        <v>9428644595</v>
      </c>
      <c r="Q4648" s="232">
        <v>44531</v>
      </c>
      <c r="R4648" s="233">
        <v>475000</v>
      </c>
      <c r="S4648" s="233">
        <v>646000</v>
      </c>
      <c r="T4648" s="30"/>
      <c r="U4648" s="146"/>
      <c r="V4648" s="146"/>
    </row>
    <row r="4649" spans="1:22" s="31" customFormat="1" ht="15" hidden="1" x14ac:dyDescent="0.25">
      <c r="B4649" s="215"/>
      <c r="C4649" s="216"/>
      <c r="D4649" s="217"/>
      <c r="E4649" s="217"/>
      <c r="F4649" s="219"/>
      <c r="G4649" s="219"/>
      <c r="H4649" s="218"/>
      <c r="I4649" s="218"/>
      <c r="J4649" s="218"/>
      <c r="K4649" s="41"/>
      <c r="L4649" s="20"/>
      <c r="M4649" s="96"/>
      <c r="N4649" s="96"/>
      <c r="O4649" s="81"/>
      <c r="P4649" s="234"/>
      <c r="Q4649" s="241"/>
      <c r="R4649" s="230"/>
      <c r="S4649" s="230"/>
      <c r="T4649" s="30"/>
      <c r="U4649" s="146"/>
      <c r="V4649" s="146"/>
    </row>
    <row r="4650" spans="1:22" s="31" customFormat="1" ht="15" hidden="1" x14ac:dyDescent="0.25">
      <c r="A4650" s="31">
        <v>4242022</v>
      </c>
      <c r="B4650" s="139" t="s">
        <v>4304</v>
      </c>
      <c r="C4650" s="140"/>
      <c r="D4650" s="141">
        <v>49013580</v>
      </c>
      <c r="E4650" s="141">
        <f>+D4650</f>
        <v>49013580</v>
      </c>
      <c r="F4650" s="141"/>
      <c r="G4650" s="141"/>
      <c r="H4650" s="141"/>
      <c r="I4650" s="141"/>
      <c r="J4650" s="141"/>
      <c r="K4650" s="141"/>
      <c r="L4650" s="141">
        <f>+D4650</f>
        <v>49013580</v>
      </c>
      <c r="M4650" s="142"/>
      <c r="N4650" s="142"/>
      <c r="P4650" s="156"/>
      <c r="Q4650" s="156"/>
      <c r="R4650" s="158"/>
      <c r="S4650" s="158"/>
      <c r="T4650" s="30"/>
    </row>
    <row r="4651" spans="1:22" s="31" customFormat="1" ht="15" x14ac:dyDescent="0.25">
      <c r="B4651" s="89">
        <v>44648.083333333336</v>
      </c>
      <c r="C4651" s="92" t="s">
        <v>4305</v>
      </c>
      <c r="D4651" s="23"/>
      <c r="E4651" s="23">
        <v>1633786</v>
      </c>
      <c r="F4651" s="93"/>
      <c r="G4651" s="93">
        <f>+E4651</f>
        <v>1633786</v>
      </c>
      <c r="H4651" s="94"/>
      <c r="I4651" s="94"/>
      <c r="J4651" s="94">
        <v>11088.11</v>
      </c>
      <c r="K4651" s="18">
        <f>+G4651-H4651-I4651-J4651</f>
        <v>1622697.89</v>
      </c>
      <c r="L4651" s="19">
        <f>+L4650-G4651</f>
        <v>47379794</v>
      </c>
      <c r="M4651" s="96"/>
      <c r="N4651" s="96"/>
      <c r="O4651" s="149">
        <f>+VLOOKUP(A4650,'[1]ANEXO 7 - PPTO VIG 2022'!$G$9:$AB$201,21,)-L4652</f>
        <v>0</v>
      </c>
      <c r="P4651" s="227">
        <v>57140341</v>
      </c>
      <c r="Q4651" s="228">
        <v>44562</v>
      </c>
      <c r="R4651" s="229">
        <v>466900</v>
      </c>
      <c r="S4651" s="229">
        <v>512000</v>
      </c>
      <c r="T4651" s="30"/>
      <c r="U4651" s="146"/>
      <c r="V4651" s="146"/>
    </row>
    <row r="4652" spans="1:22" s="31" customFormat="1" ht="15" x14ac:dyDescent="0.25">
      <c r="B4652" s="215">
        <v>44648.083333333336</v>
      </c>
      <c r="C4652" s="216" t="s">
        <v>4306</v>
      </c>
      <c r="D4652" s="217"/>
      <c r="E4652" s="217">
        <v>8168930</v>
      </c>
      <c r="F4652" s="219"/>
      <c r="G4652" s="93">
        <f>+E4652</f>
        <v>8168930</v>
      </c>
      <c r="H4652" s="218"/>
      <c r="I4652" s="218">
        <v>226552.07</v>
      </c>
      <c r="J4652" s="218">
        <v>55440.57</v>
      </c>
      <c r="K4652" s="18">
        <f>+G4652-H4652-I4652-J4652</f>
        <v>7886937.3599999994</v>
      </c>
      <c r="L4652" s="19">
        <f>+L4651-G4652</f>
        <v>39210864</v>
      </c>
      <c r="M4652" s="96"/>
      <c r="N4652" s="96"/>
      <c r="O4652" s="81"/>
      <c r="P4652" s="234">
        <v>57140378</v>
      </c>
      <c r="Q4652" s="228">
        <v>44593</v>
      </c>
      <c r="R4652" s="229">
        <v>475400</v>
      </c>
      <c r="S4652" s="229">
        <v>522900</v>
      </c>
      <c r="T4652" s="30"/>
      <c r="U4652" s="146"/>
      <c r="V4652" s="146"/>
    </row>
    <row r="4653" spans="1:22" s="31" customFormat="1" ht="15" hidden="1" x14ac:dyDescent="0.25">
      <c r="A4653" s="31">
        <v>4642022</v>
      </c>
      <c r="B4653" s="139" t="s">
        <v>4307</v>
      </c>
      <c r="C4653" s="140"/>
      <c r="D4653" s="141">
        <v>52960128</v>
      </c>
      <c r="E4653" s="141">
        <f>+D4653</f>
        <v>52960128</v>
      </c>
      <c r="F4653" s="141"/>
      <c r="G4653" s="141"/>
      <c r="H4653" s="141"/>
      <c r="I4653" s="141"/>
      <c r="J4653" s="141"/>
      <c r="K4653" s="141"/>
      <c r="L4653" s="141">
        <f>+D4653</f>
        <v>52960128</v>
      </c>
      <c r="M4653" s="142"/>
      <c r="N4653" s="142"/>
      <c r="P4653" s="156"/>
      <c r="Q4653" s="156"/>
      <c r="R4653" s="158"/>
      <c r="S4653" s="158"/>
      <c r="T4653" s="30"/>
    </row>
    <row r="4654" spans="1:22" s="31" customFormat="1" ht="15" x14ac:dyDescent="0.25">
      <c r="B4654" s="89">
        <v>44644.083333333336</v>
      </c>
      <c r="C4654" s="92" t="s">
        <v>4308</v>
      </c>
      <c r="D4654" s="23"/>
      <c r="E4654" s="23">
        <v>220667</v>
      </c>
      <c r="F4654" s="93"/>
      <c r="G4654" s="93">
        <f>+E4654</f>
        <v>220667</v>
      </c>
      <c r="H4654" s="94"/>
      <c r="I4654" s="94"/>
      <c r="J4654" s="94">
        <v>1497.61</v>
      </c>
      <c r="K4654" s="18">
        <f>+G4654-H4654-I4654-J4654</f>
        <v>219169.39</v>
      </c>
      <c r="L4654" s="19">
        <f>+L4653-G4654</f>
        <v>52739461</v>
      </c>
      <c r="M4654" s="96"/>
      <c r="N4654" s="96"/>
      <c r="O4654" s="149">
        <f>+VLOOKUP(A4653,'[1]ANEXO 7 - PPTO VIG 2022'!$G$9:$AB$201,21,)-L4654</f>
        <v>0</v>
      </c>
      <c r="P4654" s="227">
        <v>9430140842</v>
      </c>
      <c r="Q4654" s="228">
        <v>44562</v>
      </c>
      <c r="R4654" s="229">
        <v>125000</v>
      </c>
      <c r="S4654" s="229">
        <v>160000</v>
      </c>
      <c r="T4654" s="30"/>
      <c r="U4654" s="146"/>
      <c r="V4654" s="146"/>
    </row>
    <row r="4655" spans="1:22" s="31" customFormat="1" ht="15" hidden="1" x14ac:dyDescent="0.25">
      <c r="B4655" s="215"/>
      <c r="C4655" s="216"/>
      <c r="D4655" s="217"/>
      <c r="E4655" s="217"/>
      <c r="F4655" s="219"/>
      <c r="G4655" s="219"/>
      <c r="H4655" s="218"/>
      <c r="I4655" s="218"/>
      <c r="J4655" s="218"/>
      <c r="K4655" s="41"/>
      <c r="L4655" s="20"/>
      <c r="M4655" s="96"/>
      <c r="N4655" s="96"/>
      <c r="O4655" s="81"/>
      <c r="P4655" s="234"/>
      <c r="Q4655" s="241"/>
      <c r="R4655" s="230"/>
      <c r="S4655" s="230"/>
      <c r="T4655" s="30"/>
      <c r="U4655" s="146"/>
      <c r="V4655" s="146"/>
    </row>
    <row r="4656" spans="1:22" s="31" customFormat="1" ht="15" hidden="1" x14ac:dyDescent="0.25">
      <c r="A4656" s="31">
        <v>4772022</v>
      </c>
      <c r="B4656" s="139" t="s">
        <v>4309</v>
      </c>
      <c r="C4656" s="140"/>
      <c r="D4656" s="141">
        <v>37400000</v>
      </c>
      <c r="E4656" s="141">
        <f>+D4656</f>
        <v>37400000</v>
      </c>
      <c r="F4656" s="141"/>
      <c r="G4656" s="141"/>
      <c r="H4656" s="141"/>
      <c r="I4656" s="141"/>
      <c r="J4656" s="141"/>
      <c r="K4656" s="141"/>
      <c r="L4656" s="141">
        <f>+D4656</f>
        <v>37400000</v>
      </c>
      <c r="M4656" s="142"/>
      <c r="N4656" s="142"/>
      <c r="P4656" s="156"/>
      <c r="Q4656" s="156"/>
      <c r="R4656" s="158"/>
      <c r="S4656" s="158"/>
      <c r="T4656" s="30"/>
    </row>
    <row r="4657" spans="1:23" s="31" customFormat="1" ht="15" x14ac:dyDescent="0.25">
      <c r="B4657" s="89">
        <v>44650.083333333336</v>
      </c>
      <c r="C4657" s="92" t="s">
        <v>4310</v>
      </c>
      <c r="D4657" s="23"/>
      <c r="E4657" s="23">
        <v>113333</v>
      </c>
      <c r="F4657" s="93"/>
      <c r="G4657" s="93">
        <f>+E4657</f>
        <v>113333</v>
      </c>
      <c r="H4657" s="94"/>
      <c r="I4657" s="94"/>
      <c r="J4657" s="94">
        <v>769.16</v>
      </c>
      <c r="K4657" s="18">
        <f>+G4657-H4657-I4657-J4657</f>
        <v>112563.84</v>
      </c>
      <c r="L4657" s="19">
        <f>+L4656-G4657</f>
        <v>37286667</v>
      </c>
      <c r="M4657" s="96"/>
      <c r="N4657" s="96"/>
      <c r="O4657" s="149">
        <f>+VLOOKUP(A4656,'[1]ANEXO 7 - PPTO VIG 2022'!$G$9:$AB$201,21,)-L4657</f>
        <v>0</v>
      </c>
      <c r="P4657" s="227">
        <v>9430941957</v>
      </c>
      <c r="Q4657" s="228">
        <v>44562</v>
      </c>
      <c r="R4657" s="229">
        <v>125000</v>
      </c>
      <c r="S4657" s="229">
        <v>160000</v>
      </c>
      <c r="T4657" s="30"/>
      <c r="U4657" s="146"/>
      <c r="V4657" s="146"/>
    </row>
    <row r="4658" spans="1:23" s="31" customFormat="1" ht="15" hidden="1" x14ac:dyDescent="0.25">
      <c r="B4658" s="215"/>
      <c r="C4658" s="216"/>
      <c r="D4658" s="217"/>
      <c r="E4658" s="217"/>
      <c r="F4658" s="219"/>
      <c r="G4658" s="219"/>
      <c r="H4658" s="218"/>
      <c r="I4658" s="218"/>
      <c r="J4658" s="218"/>
      <c r="K4658" s="41"/>
      <c r="L4658" s="20"/>
      <c r="M4658" s="96"/>
      <c r="N4658" s="96"/>
      <c r="O4658" s="81"/>
      <c r="P4658" s="234"/>
      <c r="Q4658" s="228"/>
      <c r="R4658" s="229"/>
      <c r="S4658" s="229"/>
      <c r="T4658" s="30"/>
      <c r="U4658" s="146"/>
      <c r="V4658" s="146"/>
    </row>
    <row r="4659" spans="1:23" s="31" customFormat="1" ht="15" hidden="1" x14ac:dyDescent="0.25">
      <c r="A4659" s="31">
        <v>5042022</v>
      </c>
      <c r="B4659" s="139" t="s">
        <v>4311</v>
      </c>
      <c r="C4659" s="140"/>
      <c r="D4659" s="141">
        <v>52960128</v>
      </c>
      <c r="E4659" s="141">
        <f>+D4659</f>
        <v>52960128</v>
      </c>
      <c r="F4659" s="141"/>
      <c r="G4659" s="141"/>
      <c r="H4659" s="141"/>
      <c r="I4659" s="141"/>
      <c r="J4659" s="141"/>
      <c r="K4659" s="141"/>
      <c r="L4659" s="141">
        <f>+D4659</f>
        <v>52960128</v>
      </c>
      <c r="M4659" s="142"/>
      <c r="N4659" s="142"/>
      <c r="P4659" s="156"/>
      <c r="Q4659" s="156"/>
      <c r="R4659" s="158"/>
      <c r="S4659" s="158"/>
      <c r="T4659" s="30"/>
    </row>
    <row r="4660" spans="1:23" s="31" customFormat="1" ht="15" x14ac:dyDescent="0.25">
      <c r="B4660" s="89">
        <v>44644.083333333336</v>
      </c>
      <c r="C4660" s="92" t="s">
        <v>4312</v>
      </c>
      <c r="D4660" s="23"/>
      <c r="E4660" s="23">
        <v>220667</v>
      </c>
      <c r="F4660" s="93"/>
      <c r="G4660" s="93">
        <f>+E4660</f>
        <v>220667</v>
      </c>
      <c r="H4660" s="94"/>
      <c r="I4660" s="94"/>
      <c r="J4660" s="94">
        <v>1497.61</v>
      </c>
      <c r="K4660" s="18">
        <f>+G4660-H4660-I4660-J4660</f>
        <v>219169.39</v>
      </c>
      <c r="L4660" s="19">
        <f>+L4659-G4660</f>
        <v>52739461</v>
      </c>
      <c r="M4660" s="96"/>
      <c r="N4660" s="96"/>
      <c r="O4660" s="149">
        <f>+VLOOKUP(A4659,'[1]ANEXO 7 - PPTO VIG 2022'!$G$9:$AB$201,21,)-L4660</f>
        <v>0</v>
      </c>
      <c r="P4660" s="227">
        <v>9429265108</v>
      </c>
      <c r="Q4660" s="228">
        <v>44562</v>
      </c>
      <c r="R4660" s="229">
        <v>125000</v>
      </c>
      <c r="S4660" s="229">
        <v>160000</v>
      </c>
      <c r="T4660" s="30"/>
      <c r="U4660" s="146"/>
      <c r="V4660" s="146"/>
    </row>
    <row r="4661" spans="1:23" s="31" customFormat="1" ht="15" hidden="1" x14ac:dyDescent="0.25">
      <c r="B4661" s="215"/>
      <c r="C4661" s="216"/>
      <c r="D4661" s="217"/>
      <c r="E4661" s="217"/>
      <c r="F4661" s="219"/>
      <c r="G4661" s="219"/>
      <c r="H4661" s="218"/>
      <c r="I4661" s="218"/>
      <c r="J4661" s="218"/>
      <c r="K4661" s="41"/>
      <c r="L4661" s="20"/>
      <c r="M4661" s="96"/>
      <c r="N4661" s="96"/>
      <c r="O4661" s="81"/>
      <c r="P4661" s="234"/>
      <c r="Q4661" s="241"/>
      <c r="R4661" s="230"/>
      <c r="S4661" s="230"/>
      <c r="T4661" s="30"/>
      <c r="U4661" s="146"/>
      <c r="V4661" s="146"/>
    </row>
    <row r="4662" spans="1:23" s="31" customFormat="1" ht="15" hidden="1" x14ac:dyDescent="0.25">
      <c r="A4662" s="31">
        <v>2742022</v>
      </c>
      <c r="B4662" s="139" t="s">
        <v>4313</v>
      </c>
      <c r="C4662" s="140"/>
      <c r="D4662" s="141">
        <v>67897600</v>
      </c>
      <c r="E4662" s="141">
        <f>+D4662</f>
        <v>67897600</v>
      </c>
      <c r="F4662" s="141"/>
      <c r="G4662" s="141"/>
      <c r="H4662" s="141"/>
      <c r="I4662" s="141"/>
      <c r="J4662" s="141"/>
      <c r="K4662" s="141"/>
      <c r="L4662" s="141">
        <f>+D4662</f>
        <v>67897600</v>
      </c>
      <c r="M4662" s="142"/>
      <c r="N4662" s="142"/>
      <c r="P4662" s="156"/>
      <c r="Q4662" s="156"/>
      <c r="R4662" s="158"/>
      <c r="S4662" s="158"/>
      <c r="T4662" s="30"/>
    </row>
    <row r="4663" spans="1:23" s="31" customFormat="1" ht="15" x14ac:dyDescent="0.25">
      <c r="B4663" s="89">
        <v>44648.083333333336</v>
      </c>
      <c r="C4663" s="92" t="s">
        <v>4314</v>
      </c>
      <c r="D4663" s="23"/>
      <c r="E4663" s="23">
        <v>1980347</v>
      </c>
      <c r="F4663" s="93"/>
      <c r="G4663" s="93">
        <f>+E4663</f>
        <v>1980347</v>
      </c>
      <c r="H4663" s="94"/>
      <c r="I4663" s="94"/>
      <c r="J4663" s="94">
        <v>13440.14</v>
      </c>
      <c r="K4663" s="18">
        <f>+G4663-H4663-I4663-J4663</f>
        <v>1966906.86</v>
      </c>
      <c r="L4663" s="19">
        <f>+L4662-G4663</f>
        <v>65917253</v>
      </c>
      <c r="M4663" s="96"/>
      <c r="N4663" s="96"/>
      <c r="O4663" s="149">
        <f>+VLOOKUP(A4662,'[1]ANEXO 7 - PPTO VIG 2022'!$G$9:$AB$201,21,)-L4663</f>
        <v>0</v>
      </c>
      <c r="P4663" s="227">
        <v>4432993419</v>
      </c>
      <c r="Q4663" s="228">
        <v>44562</v>
      </c>
      <c r="R4663" s="229">
        <v>198200</v>
      </c>
      <c r="S4663" s="229">
        <v>253600</v>
      </c>
      <c r="T4663" s="30"/>
      <c r="U4663" s="146"/>
      <c r="V4663" s="146"/>
    </row>
    <row r="4664" spans="1:23" s="31" customFormat="1" ht="15" hidden="1" x14ac:dyDescent="0.25">
      <c r="B4664" s="215"/>
      <c r="C4664" s="216"/>
      <c r="D4664" s="217"/>
      <c r="E4664" s="217"/>
      <c r="F4664" s="219"/>
      <c r="G4664" s="219"/>
      <c r="H4664" s="218"/>
      <c r="I4664" s="218"/>
      <c r="J4664" s="218"/>
      <c r="K4664" s="41"/>
      <c r="L4664" s="20"/>
      <c r="M4664" s="96"/>
      <c r="N4664" s="96"/>
      <c r="O4664" s="81"/>
      <c r="P4664" s="234"/>
      <c r="Q4664" s="241"/>
      <c r="R4664" s="230"/>
      <c r="S4664" s="230"/>
      <c r="T4664" s="30"/>
      <c r="U4664" s="146"/>
      <c r="V4664" s="146"/>
    </row>
    <row r="4665" spans="1:23" s="31" customFormat="1" ht="15" hidden="1" x14ac:dyDescent="0.25">
      <c r="B4665" s="215"/>
      <c r="C4665" s="216"/>
      <c r="D4665" s="217"/>
      <c r="E4665" s="217"/>
      <c r="F4665" s="219"/>
      <c r="G4665" s="219"/>
      <c r="H4665" s="218"/>
      <c r="I4665" s="218"/>
      <c r="J4665" s="218"/>
      <c r="K4665" s="41"/>
      <c r="L4665" s="20"/>
      <c r="M4665" s="96"/>
      <c r="N4665" s="96"/>
      <c r="O4665" s="81"/>
      <c r="P4665" s="234"/>
      <c r="Q4665" s="241"/>
      <c r="R4665" s="230"/>
      <c r="S4665" s="230"/>
      <c r="T4665" s="30"/>
      <c r="U4665" s="146"/>
      <c r="V4665" s="146"/>
    </row>
    <row r="4666" spans="1:23" ht="15" hidden="1" x14ac:dyDescent="0.25">
      <c r="G4666" s="138">
        <v>2113905863.5</v>
      </c>
    </row>
    <row r="4667" spans="1:23" ht="15" hidden="1" x14ac:dyDescent="0.25">
      <c r="G4667" s="138">
        <f>+G4666-G4343</f>
        <v>2113905863.5</v>
      </c>
    </row>
    <row r="4668" spans="1:23" ht="15" x14ac:dyDescent="0.25">
      <c r="W4668" s="31" t="e">
        <v>#N/A</v>
      </c>
    </row>
    <row r="4669" spans="1:23" ht="15" x14ac:dyDescent="0.25">
      <c r="E4669" s="138">
        <f t="shared" ref="E4669:K4669" si="846">SUBTOTAL(9,E2067:E4668)</f>
        <v>2589918332.3299999</v>
      </c>
      <c r="F4669" s="138">
        <f t="shared" si="846"/>
        <v>0</v>
      </c>
      <c r="G4669" s="138">
        <f>SUBTOTAL(9,G2067:G4668)</f>
        <v>2589918332.3299999</v>
      </c>
      <c r="H4669" s="138">
        <f t="shared" si="846"/>
        <v>9633604.4900000002</v>
      </c>
      <c r="I4669" s="138">
        <f t="shared" si="846"/>
        <v>40930349.18999999</v>
      </c>
      <c r="J4669" s="138">
        <f t="shared" si="846"/>
        <v>6793219.9599999981</v>
      </c>
      <c r="K4669" s="138">
        <f t="shared" si="846"/>
        <v>2532561158.6900015</v>
      </c>
    </row>
    <row r="4670" spans="1:23" ht="15" x14ac:dyDescent="0.25">
      <c r="E4670" s="138">
        <v>1928667579</v>
      </c>
      <c r="G4670" s="242">
        <v>2589918332.3299999</v>
      </c>
      <c r="H4670" s="242">
        <v>9633604.4900000021</v>
      </c>
      <c r="I4670" s="242">
        <v>40930349.189999983</v>
      </c>
      <c r="J4670" s="242">
        <v>6793219.96</v>
      </c>
      <c r="K4670" s="242">
        <v>2532561158.6900001</v>
      </c>
    </row>
    <row r="4671" spans="1:23" ht="15" x14ac:dyDescent="0.25">
      <c r="E4671" s="243">
        <f>+E4669-E4670</f>
        <v>661250753.32999992</v>
      </c>
      <c r="F4671" s="243"/>
      <c r="G4671" s="243">
        <f>+G4669-G4670</f>
        <v>0</v>
      </c>
      <c r="H4671" s="243">
        <f>+H4669-H4670</f>
        <v>0</v>
      </c>
      <c r="I4671" s="243">
        <f>+I4669-I4670</f>
        <v>0</v>
      </c>
      <c r="J4671" s="243">
        <f>+J4669-J4670</f>
        <v>0</v>
      </c>
      <c r="K4671" s="243">
        <f>+K4669-K4670</f>
        <v>0</v>
      </c>
    </row>
    <row r="4672" spans="1:23" ht="15" x14ac:dyDescent="0.25"/>
    <row r="4673" ht="15" x14ac:dyDescent="0.25"/>
  </sheetData>
  <autoFilter ref="B2:IT4667">
    <filterColumn colId="0">
      <filters>
        <dateGroupItem year="2022" month="3" dateTimeGrouping="month"/>
      </filters>
    </filterColumn>
  </autoFilter>
  <mergeCells count="126">
    <mergeCell ref="S2:S3"/>
    <mergeCell ref="F404:K404"/>
    <mergeCell ref="F463:K463"/>
    <mergeCell ref="B1:L1"/>
    <mergeCell ref="B2:B3"/>
    <mergeCell ref="C2:C3"/>
    <mergeCell ref="G2:G3"/>
    <mergeCell ref="K2:K3"/>
    <mergeCell ref="L2:L3"/>
    <mergeCell ref="F471:K471"/>
    <mergeCell ref="F479:K479"/>
    <mergeCell ref="F486:K486"/>
    <mergeCell ref="F493:K493"/>
    <mergeCell ref="F499:K499"/>
    <mergeCell ref="F504:K504"/>
    <mergeCell ref="P2:P3"/>
    <mergeCell ref="Q2:Q3"/>
    <mergeCell ref="R2:R3"/>
    <mergeCell ref="F542:K542"/>
    <mergeCell ref="F546:K546"/>
    <mergeCell ref="F554:K554"/>
    <mergeCell ref="F558:K558"/>
    <mergeCell ref="F561:K561"/>
    <mergeCell ref="F565:K565"/>
    <mergeCell ref="F509:K509"/>
    <mergeCell ref="F513:K513"/>
    <mergeCell ref="F520:K520"/>
    <mergeCell ref="F527:K527"/>
    <mergeCell ref="F531:K531"/>
    <mergeCell ref="F536:K536"/>
    <mergeCell ref="F674:K674"/>
    <mergeCell ref="F679:K679"/>
    <mergeCell ref="F694:K694"/>
    <mergeCell ref="F708:K708"/>
    <mergeCell ref="F862:K862"/>
    <mergeCell ref="F962:K962"/>
    <mergeCell ref="F580:K580"/>
    <mergeCell ref="F603:K603"/>
    <mergeCell ref="F629:K629"/>
    <mergeCell ref="F643:K643"/>
    <mergeCell ref="F657:K657"/>
    <mergeCell ref="F661:K661"/>
    <mergeCell ref="P2359:P2360"/>
    <mergeCell ref="Q2359:Q2360"/>
    <mergeCell ref="R2359:R2360"/>
    <mergeCell ref="S2359:S2360"/>
    <mergeCell ref="P2361:P2362"/>
    <mergeCell ref="Q2361:Q2362"/>
    <mergeCell ref="R2361:R2362"/>
    <mergeCell ref="S2361:S2362"/>
    <mergeCell ref="P2086:S2086"/>
    <mergeCell ref="P2088:S2088"/>
    <mergeCell ref="P2259:S2259"/>
    <mergeCell ref="P2357:P2358"/>
    <mergeCell ref="Q2357:Q2358"/>
    <mergeCell ref="R2357:R2358"/>
    <mergeCell ref="S2357:S2358"/>
    <mergeCell ref="P2367:P2368"/>
    <mergeCell ref="Q2367:Q2368"/>
    <mergeCell ref="R2367:R2368"/>
    <mergeCell ref="S2367:S2368"/>
    <mergeCell ref="P2369:P2370"/>
    <mergeCell ref="Q2369:Q2370"/>
    <mergeCell ref="R2369:R2370"/>
    <mergeCell ref="S2369:S2370"/>
    <mergeCell ref="P2363:P2364"/>
    <mergeCell ref="Q2363:Q2364"/>
    <mergeCell ref="R2363:R2364"/>
    <mergeCell ref="S2363:S2364"/>
    <mergeCell ref="P2365:P2366"/>
    <mergeCell ref="Q2365:Q2366"/>
    <mergeCell ref="R2365:R2366"/>
    <mergeCell ref="S2365:S2366"/>
    <mergeCell ref="P2375:P2376"/>
    <mergeCell ref="Q2375:Q2376"/>
    <mergeCell ref="R2375:R2376"/>
    <mergeCell ref="S2375:S2376"/>
    <mergeCell ref="P2377:P2378"/>
    <mergeCell ref="Q2377:Q2378"/>
    <mergeCell ref="R2377:R2378"/>
    <mergeCell ref="S2377:S2378"/>
    <mergeCell ref="P2371:P2372"/>
    <mergeCell ref="Q2371:Q2372"/>
    <mergeCell ref="R2371:R2372"/>
    <mergeCell ref="S2371:S2372"/>
    <mergeCell ref="P2373:P2374"/>
    <mergeCell ref="Q2373:Q2374"/>
    <mergeCell ref="R2373:R2374"/>
    <mergeCell ref="S2373:S2374"/>
    <mergeCell ref="Q2879:S2879"/>
    <mergeCell ref="P3078:S3078"/>
    <mergeCell ref="P3081:S3081"/>
    <mergeCell ref="P3083:S3083"/>
    <mergeCell ref="P3084:S3084"/>
    <mergeCell ref="P3137:P3138"/>
    <mergeCell ref="Q3137:Q3138"/>
    <mergeCell ref="R3137:R3138"/>
    <mergeCell ref="S3137:S3138"/>
    <mergeCell ref="P3143:P3144"/>
    <mergeCell ref="Q3143:Q3144"/>
    <mergeCell ref="R3143:R3144"/>
    <mergeCell ref="S3143:S3144"/>
    <mergeCell ref="P3145:P3146"/>
    <mergeCell ref="Q3145:Q3146"/>
    <mergeCell ref="R3145:R3146"/>
    <mergeCell ref="S3145:S3146"/>
    <mergeCell ref="P3139:P3140"/>
    <mergeCell ref="Q3139:Q3140"/>
    <mergeCell ref="R3139:R3140"/>
    <mergeCell ref="S3139:S3140"/>
    <mergeCell ref="P3141:P3142"/>
    <mergeCell ref="Q3141:Q3142"/>
    <mergeCell ref="R3141:R3142"/>
    <mergeCell ref="S3141:S3142"/>
    <mergeCell ref="P3337:S3337"/>
    <mergeCell ref="P3391:S3391"/>
    <mergeCell ref="P3475:S3475"/>
    <mergeCell ref="P3745:S3745"/>
    <mergeCell ref="P3147:P3148"/>
    <mergeCell ref="Q3147:Q3148"/>
    <mergeCell ref="R3147:R3148"/>
    <mergeCell ref="S3147:S3148"/>
    <mergeCell ref="P3149:P3150"/>
    <mergeCell ref="Q3149:Q3150"/>
    <mergeCell ref="R3149:R3150"/>
    <mergeCell ref="S3149:S3150"/>
  </mergeCells>
  <printOptions horizontalCentered="1"/>
  <pageMargins left="0.27559055118110237" right="0.23622047244094491" top="0.55118110236220474" bottom="0.19685039370078741" header="0.15748031496062992" footer="0"/>
  <pageSetup scale="56"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8 - PAGCONTRATOS</vt:lpstr>
      <vt:lpstr>'ANEXO 8 - PAGCONTRATOS'!Área_de_impresión</vt:lpstr>
      <vt:lpstr>'ANEXO 8 - PAGCONTRATOS'!Títulos_a_imprimir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Garcerant Munoz Aura Maria</dc:creator>
  <cp:lastModifiedBy>Garcerant Munoz Aura Maria</cp:lastModifiedBy>
  <cp:lastPrinted>2022-04-21T16:14:28Z</cp:lastPrinted>
  <dcterms:created xsi:type="dcterms:W3CDTF">2022-04-21T16:02:56Z</dcterms:created>
  <dcterms:modified xsi:type="dcterms:W3CDTF">2022-04-21T16:14:57Z</dcterms:modified>
</cp:coreProperties>
</file>